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usti\Documents\Course Files\Course Files\0 - REFM Crash Course\Break Into CRE Crash Course 2025\"/>
    </mc:Choice>
  </mc:AlternateContent>
  <xr:revisionPtr revIDLastSave="0" documentId="8_{4F9DCE80-23CC-421F-BFD3-D3785AA31C56}" xr6:coauthVersionLast="47" xr6:coauthVersionMax="47" xr10:uidLastSave="{00000000-0000-0000-0000-000000000000}"/>
  <bookViews>
    <workbookView xWindow="-110" yWindow="-110" windowWidth="38620" windowHeight="21820" activeTab="1" xr2:uid="{7E3A07F7-A3FE-4840-B335-B49EC86EA13D}"/>
  </bookViews>
  <sheets>
    <sheet name="Read Me First" sheetId="2" r:id="rId1"/>
    <sheet name="Break Into CRE Crash Course" sheetId="1" r:id="rId2"/>
  </sheets>
  <definedNames>
    <definedName name="_xlnm.Print_Area" localSheetId="0">'Read Me First'!$A$1:$N$33</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1" l="1"/>
  <c r="O12" i="1"/>
  <c r="N12" i="1"/>
  <c r="M12" i="1"/>
  <c r="L12" i="1"/>
  <c r="K12" i="1"/>
  <c r="J12" i="1"/>
  <c r="I12" i="1"/>
  <c r="H12" i="1"/>
  <c r="G12" i="1"/>
  <c r="O11" i="1"/>
  <c r="N11" i="1"/>
  <c r="M11" i="1"/>
  <c r="L11" i="1"/>
  <c r="K11" i="1"/>
  <c r="J11" i="1"/>
  <c r="I11" i="1"/>
  <c r="H11" i="1"/>
  <c r="G11" i="1"/>
  <c r="F11" i="1"/>
  <c r="A33" i="2" l="1"/>
  <c r="F3" i="1"/>
  <c r="G3" i="1" s="1"/>
  <c r="F7" i="1"/>
  <c r="G7" i="1" s="1"/>
  <c r="H7" i="1" s="1"/>
  <c r="G1" i="1"/>
  <c r="G18" i="1" s="1"/>
  <c r="G20" i="1" s="1"/>
  <c r="F13" i="1"/>
  <c r="G13" i="1" s="1"/>
  <c r="H13" i="1" s="1"/>
  <c r="G19" i="1"/>
  <c r="H1" i="1"/>
  <c r="F18" i="1"/>
  <c r="F19" i="1"/>
  <c r="E24" i="1"/>
  <c r="E28" i="1" s="1"/>
  <c r="E25" i="1"/>
  <c r="E30" i="1"/>
  <c r="E31" i="1"/>
  <c r="E2" i="1"/>
  <c r="F2" i="1" s="1"/>
  <c r="G2" i="1" s="1"/>
  <c r="H2" i="1" s="1"/>
  <c r="I2" i="1" s="1"/>
  <c r="J2" i="1" s="1"/>
  <c r="K2" i="1" s="1"/>
  <c r="L2" i="1" s="1"/>
  <c r="M2" i="1" s="1"/>
  <c r="N2" i="1" s="1"/>
  <c r="O2" i="1" s="1"/>
  <c r="P2" i="1" s="1"/>
  <c r="F20" i="1" l="1"/>
  <c r="H19" i="1"/>
  <c r="H18" i="1"/>
  <c r="F4" i="1"/>
  <c r="F5" i="1" s="1"/>
  <c r="F9" i="1" s="1"/>
  <c r="B33" i="1" s="1"/>
  <c r="G4" i="1"/>
  <c r="G5" i="1" s="1"/>
  <c r="G9" i="1" s="1"/>
  <c r="H3" i="1"/>
  <c r="H4" i="1" s="1"/>
  <c r="E33" i="1"/>
  <c r="I1" i="1"/>
  <c r="F14" i="1"/>
  <c r="I7" i="1"/>
  <c r="I13" i="1"/>
  <c r="J13" i="1" s="1"/>
  <c r="K13" i="1" s="1"/>
  <c r="H14" i="1"/>
  <c r="G14" i="1"/>
  <c r="H20" i="1" l="1"/>
  <c r="F16" i="1"/>
  <c r="F28" i="1" s="1"/>
  <c r="F33" i="1" s="1"/>
  <c r="H5" i="1"/>
  <c r="H9" i="1" s="1"/>
  <c r="H16" i="1" s="1"/>
  <c r="I3" i="1"/>
  <c r="I4" i="1" s="1"/>
  <c r="I5" i="1" s="1"/>
  <c r="I9" i="1" s="1"/>
  <c r="G16" i="1"/>
  <c r="G22" i="1" s="1"/>
  <c r="I18" i="1"/>
  <c r="J1" i="1"/>
  <c r="I19" i="1"/>
  <c r="J7" i="1"/>
  <c r="L13" i="1"/>
  <c r="G35" i="1" l="1"/>
  <c r="I20" i="1"/>
  <c r="F22" i="1"/>
  <c r="F35" i="1" s="1"/>
  <c r="J3" i="1"/>
  <c r="K3" i="1" s="1"/>
  <c r="I14" i="1"/>
  <c r="I16" i="1" s="1"/>
  <c r="I28" i="1" s="1"/>
  <c r="G28" i="1"/>
  <c r="G33" i="1" s="1"/>
  <c r="J19" i="1"/>
  <c r="J18" i="1"/>
  <c r="K1" i="1"/>
  <c r="K7" i="1"/>
  <c r="H22" i="1"/>
  <c r="H35" i="1" s="1"/>
  <c r="H28" i="1"/>
  <c r="H33" i="1" s="1"/>
  <c r="M13" i="1"/>
  <c r="J4" i="1" l="1"/>
  <c r="J5" i="1" s="1"/>
  <c r="J9" i="1" s="1"/>
  <c r="J20" i="1"/>
  <c r="I33" i="1"/>
  <c r="I22" i="1"/>
  <c r="I35" i="1" s="1"/>
  <c r="K4" i="1"/>
  <c r="K5" i="1" s="1"/>
  <c r="K9" i="1" s="1"/>
  <c r="L3" i="1"/>
  <c r="K18" i="1"/>
  <c r="K19" i="1"/>
  <c r="L1" i="1"/>
  <c r="J14" i="1"/>
  <c r="L7" i="1"/>
  <c r="N13" i="1"/>
  <c r="J16" i="1" l="1"/>
  <c r="J28" i="1" s="1"/>
  <c r="J33" i="1" s="1"/>
  <c r="K20" i="1"/>
  <c r="K14" i="1"/>
  <c r="K16" i="1" s="1"/>
  <c r="K28" i="1" s="1"/>
  <c r="L18" i="1"/>
  <c r="L19" i="1"/>
  <c r="M1" i="1"/>
  <c r="L4" i="1"/>
  <c r="L5" i="1" s="1"/>
  <c r="L9" i="1" s="1"/>
  <c r="M3" i="1"/>
  <c r="M7" i="1"/>
  <c r="O13" i="1"/>
  <c r="J22" i="1" l="1"/>
  <c r="J35" i="1" s="1"/>
  <c r="L20" i="1"/>
  <c r="K33" i="1"/>
  <c r="K22" i="1"/>
  <c r="K35" i="1" s="1"/>
  <c r="M4" i="1"/>
  <c r="M5" i="1" s="1"/>
  <c r="M9" i="1" s="1"/>
  <c r="N3" i="1"/>
  <c r="N1" i="1"/>
  <c r="M18" i="1"/>
  <c r="M19" i="1"/>
  <c r="L14" i="1"/>
  <c r="L16" i="1" s="1"/>
  <c r="N7" i="1"/>
  <c r="L28" i="1" l="1"/>
  <c r="L33" i="1" s="1"/>
  <c r="L22" i="1"/>
  <c r="L35" i="1" s="1"/>
  <c r="N18" i="1"/>
  <c r="N19" i="1"/>
  <c r="O1" i="1"/>
  <c r="M14" i="1"/>
  <c r="M16" i="1" s="1"/>
  <c r="M20" i="1"/>
  <c r="N4" i="1"/>
  <c r="N5" i="1" s="1"/>
  <c r="N9" i="1" s="1"/>
  <c r="O3" i="1"/>
  <c r="O7" i="1"/>
  <c r="M22" i="1" l="1"/>
  <c r="M35" i="1" s="1"/>
  <c r="M28" i="1"/>
  <c r="M33" i="1" s="1"/>
  <c r="O4" i="1"/>
  <c r="O5" i="1" s="1"/>
  <c r="O9" i="1" s="1"/>
  <c r="P3" i="1"/>
  <c r="O19" i="1"/>
  <c r="P1" i="1"/>
  <c r="O18" i="1"/>
  <c r="O32" i="1" s="1"/>
  <c r="N14" i="1"/>
  <c r="N16" i="1" s="1"/>
  <c r="N20" i="1"/>
  <c r="P7" i="1"/>
  <c r="O14" i="1" l="1"/>
  <c r="O16" i="1" s="1"/>
  <c r="N28" i="1"/>
  <c r="N33" i="1" s="1"/>
  <c r="N22" i="1"/>
  <c r="N35" i="1" s="1"/>
  <c r="P4" i="1"/>
  <c r="P5" i="1" s="1"/>
  <c r="P9" i="1" s="1"/>
  <c r="O26" i="1" s="1"/>
  <c r="O27" i="1" s="1"/>
  <c r="O20" i="1"/>
  <c r="O22" i="1" l="1"/>
  <c r="O28" i="1"/>
  <c r="O33" i="1" s="1"/>
  <c r="B35" i="1" s="1"/>
  <c r="O35" i="1" l="1"/>
  <c r="B36" i="1" s="1"/>
  <c r="B34" i="1"/>
</calcChain>
</file>

<file path=xl/sharedStrings.xml><?xml version="1.0" encoding="utf-8"?>
<sst xmlns="http://schemas.openxmlformats.org/spreadsheetml/2006/main" count="58" uniqueCount="54">
  <si>
    <t>Purchase Price</t>
  </si>
  <si>
    <t>Closing Costs</t>
  </si>
  <si>
    <t>Property Square Footage</t>
  </si>
  <si>
    <t>Gross Potential Rent/SF/Year</t>
  </si>
  <si>
    <t>General Vacancy Rate</t>
  </si>
  <si>
    <t>Gross Potential Revenue</t>
  </si>
  <si>
    <t>Vacancy</t>
  </si>
  <si>
    <t>Effective Gross Revenue</t>
  </si>
  <si>
    <t>Operating Expenses</t>
  </si>
  <si>
    <t>Net Operating Income</t>
  </si>
  <si>
    <t>Tenant Improvement Allowances</t>
  </si>
  <si>
    <t>Leasing Commissions</t>
  </si>
  <si>
    <t>Total Capital Expenses</t>
  </si>
  <si>
    <t>Cash Flow Before Debt Service</t>
  </si>
  <si>
    <t>Principal Payment</t>
  </si>
  <si>
    <t>Interest Payment</t>
  </si>
  <si>
    <t>Total Debt Service</t>
  </si>
  <si>
    <t>Cash Flow After Debt Service</t>
  </si>
  <si>
    <t>Sale Proceeds</t>
  </si>
  <si>
    <t>Costs of Sale</t>
  </si>
  <si>
    <t>Annual Rent Growth</t>
  </si>
  <si>
    <t>Expenses/SF/Year</t>
  </si>
  <si>
    <t>Annual Expense Growth</t>
  </si>
  <si>
    <t>Property Operating Metrics</t>
  </si>
  <si>
    <t>Acquisition Metrics</t>
  </si>
  <si>
    <t>Capital Expense Metrics</t>
  </si>
  <si>
    <t>Capital Expense Reserve/SF/Year</t>
  </si>
  <si>
    <t>Tenant Improvements</t>
  </si>
  <si>
    <t>Leasing Commissions Timing</t>
  </si>
  <si>
    <t>Tenant Improvements Timing</t>
  </si>
  <si>
    <t>Loan Metrics</t>
  </si>
  <si>
    <t>Sale Metrics</t>
  </si>
  <si>
    <t>Exit Cap Rate</t>
  </si>
  <si>
    <t>Interest Rate</t>
  </si>
  <si>
    <t>Loan Amount</t>
  </si>
  <si>
    <t>Amortization</t>
  </si>
  <si>
    <t>Year</t>
  </si>
  <si>
    <t>Acquisition Date</t>
  </si>
  <si>
    <t>Loan Proceeds</t>
  </si>
  <si>
    <t>Loan Payoff</t>
  </si>
  <si>
    <t>Total Unlevered Cash Flows</t>
  </si>
  <si>
    <t>Loan Fees</t>
  </si>
  <si>
    <t>Total Levered Cash Flows</t>
  </si>
  <si>
    <t>Capital Expense Reserve</t>
  </si>
  <si>
    <t>Capital Expense Reserve Growth/Year</t>
  </si>
  <si>
    <t>Loan Fees (as % of Loan Amount)</t>
  </si>
  <si>
    <t>Return Metrics</t>
  </si>
  <si>
    <t>Going-In Cap Rate</t>
  </si>
  <si>
    <t>Levered Internal Rate of Return (IRR)</t>
  </si>
  <si>
    <t>Levered Equity Multiple</t>
  </si>
  <si>
    <t>Year Ending</t>
  </si>
  <si>
    <t>10-Year Average Levered Cash-on-Cash</t>
  </si>
  <si>
    <t>Cash-on-Cash Return</t>
  </si>
  <si>
    <r>
      <t xml:space="preserve">www.breakintocre.com
</t>
    </r>
    <r>
      <rPr>
        <b/>
        <sz val="10"/>
        <color theme="0"/>
        <rFont val="Franklin Gothic Book"/>
        <family val="2"/>
      </rPr>
      <t xml:space="preserve">DISCLAIMER:
</t>
    </r>
    <r>
      <rPr>
        <sz val="10"/>
        <color theme="0"/>
        <rFont val="Franklin Gothic Book"/>
        <family val="2"/>
      </rPr>
      <t xml:space="preserve">YOU ACKNOWLEDGE AND AGREE THAT ALL MATERIALS, DOCUMENTS, MEDIA, FORMULAS, EXCEL FILES, AND ANY OTHER INFORMATION (HEREINAFTER COLLECTIVELY REFERRED TO AS THE “MATERIALS”) PROVIDED BY JBK ENTERPRISES, LLC (THE “COMPANY”) THROUGH BREAKINTOCRE.COM OR ANY OF ITS OTHER AFFILIATE WEBSITES OR SOURCES ARE PROVIDED ON AN “AS IS” AND “WITH ALL FAULTS” BASIS. YOU EXPRESSLY AGREE THAT USE OF THE MATERIALS IS AT YOUR SOLE RISK. 
THE COMPANY DOES NOT MAKE ANY REPRESENTATIONS OR GRANT ANY WARRANTIES, EXPRESS OR IMPLIED, EITHER IN FACT, BY OPERATION OF LAW, BY STATUTE, OR OTHERWISE; AND BY USING THE MATERIALS, YOU SPECIFICALLY WAIVE, AND THE COMPANY SPECIFICALLY DISCLAIMS, ANY OTHER WARRANTIES, WHETHER WRITTEN OR ORAL, EXPRESS OR IMPLIED, INCLUDING ANY WARRANTY OF QUALITY, MERCHANTABILITY, FITNESS FOR A PARTICULAR USE OR PURPOSE, OR NON-INFRINGEMENT OF ANY INTELLECTUAL PROPERTY RIGHTS. 
THE COMPANY MAKES NO WARRANTY THAT THE MATERIALS WILL MEET YOUR REQUIREMENTS, OR THAT IT WILL BE UNINTERRUPTED, TIMELY, SECURE, OR ERROR-FREE, OR THAT ANY DEFECTS, IF ANY, WILL BE CORRECTED OR FIXED BY THE COMPANY. YOU AGREE THAT THE COMPANY MAKES NO WARRANTY AS TO THE RESULTS THAT MAY BE OBTAINED FROM THE USE OF THE MATERIALS OR AS TO THE ACCURACY OR RELIABILITY OF ANY INFORMATION OBTAINED THROUGH THE MATERIALS. 
THE COMPANY IS NOT PROVIDING ANY TAX, LEGAL, ACCOUNTING, VALUATION, OR FINANCIAL ADVICE NOR IS THE COMPANY MAKING ANY RECOMMENDATIONS. ALL INFORMATION PROVIDED IS INTENDED SOLELY FOR EDUCATIONAL PURPOSES. YOU ARE HEREBY ADVISED TO CONSULT WITH YOUR OWN PERSONAL PROFESSIONAL ADVISORS REGARDING THE USE OF ANY MATERIALS PRIOR TO PUTTING ANY MATERIALS INTO ACTION. 
YOUR ACCESS TO AND USE OF THE MATERIALS ARE AT ALL TIMES SUBJECT TO, AND BY USING THE MATERIALS YOU AGREE TO BE BOUND BY, ALL OF THE TERMS AND CONDITIONS FOUND AT https://breakintocre.com/terms/, AND YOU FURTHER AGREE TO HOLD THE COMPANY AND ITS AFFILIATES HARMLESS FOR ANY CONSEQUENCES RELATED TO YOUR USE OF THE MATERIALS. NO COMMUNICATION (WRITTEN OR ORAL) SHALL BE DEEMED TO BE AN ASSURANCE, GUARANTEE, OR WARRANTY.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</si>
</sst>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quot;$&quot;#,##0.00"/>
    <numFmt numFmtId="165" formatCode="&quot;$&quot;#,##0"/>
    <numFmt numFmtId="166" formatCode="&quot;Year&quot;\ 0"/>
    <numFmt numFmtId="167" formatCode="0\ &quot;Years&quot;"/>
    <numFmt numFmtId="168" formatCode="0.00&quot;x&quot;"/>
    <numFmt numFmtId="169" formatCode="#0.0%_);\(#0.0%\)"/>
    <numFmt numFmtId="170" formatCode="&quot;Acquisition&quot;"/>
  </numFmts>
  <fonts count="9" x14ac:knownFonts="1">
    <font>
      <sz val="11"/>
      <color theme="1"/>
      <name val="Calibri"/>
      <family val="2"/>
      <scheme val="minor"/>
    </font>
    <font>
      <sz val="11"/>
      <color theme="1"/>
      <name val="Calibri"/>
      <family val="2"/>
      <scheme val="minor"/>
    </font>
    <font>
      <sz val="10"/>
      <color theme="1"/>
      <name val="Franklin Gothic Book"/>
      <family val="2"/>
    </font>
    <font>
      <b/>
      <sz val="10"/>
      <color theme="0"/>
      <name val="Franklin Gothic Book"/>
      <family val="2"/>
    </font>
    <font>
      <sz val="10"/>
      <color indexed="12"/>
      <name val="Franklin Gothic Book"/>
      <family val="2"/>
    </font>
    <font>
      <b/>
      <sz val="10"/>
      <color theme="1"/>
      <name val="Franklin Gothic Book"/>
      <family val="2"/>
    </font>
    <font>
      <i/>
      <sz val="10"/>
      <color theme="1"/>
      <name val="Franklin Gothic Book"/>
      <family val="2"/>
    </font>
    <font>
      <sz val="10"/>
      <color theme="0"/>
      <name val="Franklin Gothic Book"/>
      <family val="2"/>
    </font>
    <font>
      <sz val="10"/>
      <color indexed="8"/>
      <name val="Franklin Gothic Book"/>
      <family val="2"/>
    </font>
  </fonts>
  <fills count="6">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2" fillId="0" borderId="0" xfId="0" applyFont="1"/>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4" xfId="0" applyFont="1" applyFill="1" applyBorder="1" applyAlignment="1">
      <alignment horizontal="right"/>
    </xf>
    <xf numFmtId="0" fontId="3" fillId="3" borderId="5" xfId="0" applyFont="1" applyFill="1" applyBorder="1" applyAlignment="1">
      <alignment horizontal="centerContinuous"/>
    </xf>
    <xf numFmtId="0" fontId="3" fillId="3" borderId="6" xfId="0" applyFont="1" applyFill="1" applyBorder="1" applyAlignment="1">
      <alignment horizontal="centerContinuous"/>
    </xf>
    <xf numFmtId="6" fontId="4" fillId="0" borderId="2" xfId="0" applyNumberFormat="1" applyFont="1" applyBorder="1" applyAlignment="1">
      <alignment horizontal="center"/>
    </xf>
    <xf numFmtId="3" fontId="4" fillId="0" borderId="2" xfId="0" applyNumberFormat="1" applyFont="1" applyBorder="1" applyAlignment="1">
      <alignment horizontal="center"/>
    </xf>
    <xf numFmtId="164" fontId="4" fillId="0" borderId="3" xfId="0" applyNumberFormat="1" applyFont="1" applyBorder="1" applyAlignment="1">
      <alignment horizontal="center"/>
    </xf>
    <xf numFmtId="10" fontId="4" fillId="0" borderId="3" xfId="0" applyNumberFormat="1" applyFont="1" applyBorder="1" applyAlignment="1">
      <alignment horizontal="center"/>
    </xf>
    <xf numFmtId="10" fontId="4" fillId="0" borderId="4" xfId="0" applyNumberFormat="1" applyFont="1" applyBorder="1" applyAlignment="1">
      <alignment horizontal="center"/>
    </xf>
    <xf numFmtId="8" fontId="4" fillId="0" borderId="2" xfId="0" applyNumberFormat="1" applyFont="1" applyBorder="1" applyAlignment="1">
      <alignment horizontal="center"/>
    </xf>
    <xf numFmtId="6" fontId="4" fillId="0" borderId="3" xfId="0" applyNumberFormat="1" applyFont="1" applyBorder="1" applyAlignment="1">
      <alignment horizontal="center"/>
    </xf>
    <xf numFmtId="166" fontId="4" fillId="0" borderId="3" xfId="0" applyNumberFormat="1" applyFont="1" applyBorder="1" applyAlignment="1">
      <alignment horizontal="center"/>
    </xf>
    <xf numFmtId="166" fontId="4" fillId="0" borderId="4" xfId="0" applyNumberFormat="1" applyFont="1" applyBorder="1" applyAlignment="1">
      <alignment horizontal="center"/>
    </xf>
    <xf numFmtId="167" fontId="4" fillId="0" borderId="4" xfId="0" applyNumberFormat="1" applyFont="1" applyBorder="1" applyAlignment="1">
      <alignment horizontal="center"/>
    </xf>
    <xf numFmtId="0" fontId="3" fillId="3" borderId="0" xfId="0" applyFont="1" applyFill="1" applyAlignment="1">
      <alignment horizontal="right"/>
    </xf>
    <xf numFmtId="0" fontId="2" fillId="0" borderId="0" xfId="0" applyFont="1" applyAlignment="1">
      <alignment horizontal="center"/>
    </xf>
    <xf numFmtId="165" fontId="4" fillId="0" borderId="3" xfId="0" applyNumberFormat="1" applyFont="1" applyBorder="1" applyAlignment="1">
      <alignment horizontal="center"/>
    </xf>
    <xf numFmtId="14" fontId="4" fillId="0" borderId="4" xfId="0" applyNumberFormat="1" applyFont="1" applyBorder="1" applyAlignment="1">
      <alignment horizontal="center"/>
    </xf>
    <xf numFmtId="14" fontId="3" fillId="3" borderId="0" xfId="0" applyNumberFormat="1" applyFont="1" applyFill="1" applyAlignment="1">
      <alignment horizontal="center"/>
    </xf>
    <xf numFmtId="0" fontId="5" fillId="2" borderId="1" xfId="0" applyFont="1" applyFill="1" applyBorder="1" applyAlignment="1">
      <alignment horizontal="right"/>
    </xf>
    <xf numFmtId="6" fontId="2" fillId="0" borderId="7" xfId="0" applyNumberFormat="1" applyFont="1" applyBorder="1" applyAlignment="1">
      <alignment horizontal="center"/>
    </xf>
    <xf numFmtId="6" fontId="2" fillId="0" borderId="8" xfId="0" applyNumberFormat="1" applyFont="1" applyBorder="1" applyAlignment="1">
      <alignment horizontal="center"/>
    </xf>
    <xf numFmtId="6" fontId="2" fillId="0" borderId="0" xfId="0" applyNumberFormat="1" applyFont="1" applyAlignment="1">
      <alignment horizontal="center"/>
    </xf>
    <xf numFmtId="6" fontId="2" fillId="0" borderId="9" xfId="0" applyNumberFormat="1" applyFont="1" applyBorder="1" applyAlignment="1">
      <alignment horizontal="center"/>
    </xf>
    <xf numFmtId="6" fontId="5" fillId="0" borderId="10" xfId="0" applyNumberFormat="1" applyFont="1" applyBorder="1" applyAlignment="1">
      <alignment horizontal="center"/>
    </xf>
    <xf numFmtId="6" fontId="5" fillId="0" borderId="6" xfId="0" applyNumberFormat="1" applyFont="1" applyBorder="1" applyAlignment="1">
      <alignment horizontal="center"/>
    </xf>
    <xf numFmtId="10" fontId="4" fillId="0" borderId="2" xfId="0" applyNumberFormat="1" applyFont="1" applyBorder="1" applyAlignment="1">
      <alignment horizontal="center"/>
    </xf>
    <xf numFmtId="8" fontId="2" fillId="0" borderId="0" xfId="0" applyNumberFormat="1" applyFont="1"/>
    <xf numFmtId="0" fontId="3" fillId="4" borderId="5" xfId="0" applyFont="1" applyFill="1" applyBorder="1" applyAlignment="1">
      <alignment horizontal="centerContinuous"/>
    </xf>
    <xf numFmtId="0" fontId="3" fillId="4" borderId="6" xfId="0" applyFont="1" applyFill="1" applyBorder="1" applyAlignment="1">
      <alignment horizontal="centerContinuous"/>
    </xf>
    <xf numFmtId="169" fontId="6" fillId="0" borderId="10" xfId="1" applyNumberFormat="1" applyFont="1" applyBorder="1" applyAlignment="1">
      <alignment horizontal="center"/>
    </xf>
    <xf numFmtId="169" fontId="6" fillId="0" borderId="6" xfId="1" applyNumberFormat="1" applyFont="1" applyBorder="1" applyAlignment="1">
      <alignment horizontal="center"/>
    </xf>
    <xf numFmtId="0" fontId="7" fillId="0" borderId="0" xfId="0" applyFont="1" applyAlignment="1">
      <alignment vertical="top" wrapText="1"/>
    </xf>
    <xf numFmtId="0" fontId="7" fillId="3" borderId="12" xfId="0" applyFont="1" applyFill="1" applyBorder="1" applyAlignment="1">
      <alignment vertical="top" wrapText="1"/>
    </xf>
    <xf numFmtId="0" fontId="7" fillId="3" borderId="0" xfId="0" applyFont="1" applyFill="1" applyAlignment="1">
      <alignment vertical="top" wrapText="1"/>
    </xf>
    <xf numFmtId="0" fontId="7" fillId="3" borderId="9" xfId="0" applyFont="1" applyFill="1" applyBorder="1" applyAlignment="1">
      <alignment vertical="top" wrapText="1"/>
    </xf>
    <xf numFmtId="170" fontId="3" fillId="3" borderId="0" xfId="0" applyNumberFormat="1" applyFont="1" applyFill="1" applyAlignment="1">
      <alignment horizontal="center"/>
    </xf>
    <xf numFmtId="166" fontId="3" fillId="3" borderId="0" xfId="0" applyNumberFormat="1" applyFont="1" applyFill="1" applyAlignment="1">
      <alignment horizontal="center"/>
    </xf>
    <xf numFmtId="10" fontId="8" fillId="5" borderId="3" xfId="0" applyNumberFormat="1" applyFont="1" applyFill="1" applyBorder="1" applyAlignment="1">
      <alignment horizontal="center"/>
    </xf>
    <xf numFmtId="168" fontId="8" fillId="5" borderId="3" xfId="0" applyNumberFormat="1" applyFont="1" applyFill="1" applyBorder="1" applyAlignment="1">
      <alignment horizontal="center"/>
    </xf>
    <xf numFmtId="10" fontId="8" fillId="5" borderId="4" xfId="0" applyNumberFormat="1" applyFont="1" applyFill="1" applyBorder="1" applyAlignment="1">
      <alignment horizontal="center"/>
    </xf>
    <xf numFmtId="0" fontId="7" fillId="3" borderId="11"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9" xfId="0" applyFont="1" applyFill="1" applyBorder="1" applyAlignment="1">
      <alignment horizontal="center" vertical="top"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438151</xdr:colOff>
      <xdr:row>0</xdr:row>
      <xdr:rowOff>51672</xdr:rowOff>
    </xdr:from>
    <xdr:to>
      <xdr:col>9</xdr:col>
      <xdr:colOff>266701</xdr:colOff>
      <xdr:row>3</xdr:row>
      <xdr:rowOff>116260</xdr:rowOff>
    </xdr:to>
    <xdr:pic>
      <xdr:nvPicPr>
        <xdr:cNvPr id="2" name="Picture 1">
          <a:extLst>
            <a:ext uri="{FF2B5EF4-FFF2-40B4-BE49-F238E27FC236}">
              <a16:creationId xmlns:a16="http://schemas.microsoft.com/office/drawing/2014/main" id="{D374D51A-370F-487E-8DC1-0E92761C4A65}"/>
            </a:ext>
          </a:extLst>
        </xdr:cNvPr>
        <xdr:cNvPicPr>
          <a:picLocks noChangeAspect="1"/>
        </xdr:cNvPicPr>
      </xdr:nvPicPr>
      <xdr:blipFill>
        <a:blip xmlns:r="http://schemas.openxmlformats.org/officeDocument/2006/relationships" r:embed="rId1"/>
        <a:stretch>
          <a:fillRect/>
        </a:stretch>
      </xdr:blipFill>
      <xdr:spPr>
        <a:xfrm>
          <a:off x="2901951" y="51672"/>
          <a:ext cx="2908300" cy="5789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24DD-2FA5-45D5-B401-B8B8713268C0}">
  <dimension ref="A5:N47"/>
  <sheetViews>
    <sheetView showGridLines="0" view="pageBreakPreview" zoomScaleNormal="100" zoomScaleSheetLayoutView="100" workbookViewId="0"/>
  </sheetViews>
  <sheetFormatPr defaultColWidth="8.81640625" defaultRowHeight="13.5" x14ac:dyDescent="0.35"/>
  <cols>
    <col min="1" max="16384" width="8.81640625" style="1"/>
  </cols>
  <sheetData>
    <row r="5" spans="1:14" ht="12.25" customHeight="1" x14ac:dyDescent="0.35">
      <c r="A5" s="44" t="s">
        <v>53</v>
      </c>
      <c r="B5" s="45"/>
      <c r="C5" s="45"/>
      <c r="D5" s="45"/>
      <c r="E5" s="45"/>
      <c r="F5" s="45"/>
      <c r="G5" s="45"/>
      <c r="H5" s="45"/>
      <c r="I5" s="45"/>
      <c r="J5" s="45"/>
      <c r="K5" s="45"/>
      <c r="L5" s="45"/>
      <c r="M5" s="45"/>
      <c r="N5" s="46"/>
    </row>
    <row r="6" spans="1:14" x14ac:dyDescent="0.35">
      <c r="A6" s="47"/>
      <c r="B6" s="48"/>
      <c r="C6" s="48"/>
      <c r="D6" s="48"/>
      <c r="E6" s="48"/>
      <c r="F6" s="48"/>
      <c r="G6" s="48"/>
      <c r="H6" s="48"/>
      <c r="I6" s="48"/>
      <c r="J6" s="48"/>
      <c r="K6" s="48"/>
      <c r="L6" s="48"/>
      <c r="M6" s="48"/>
      <c r="N6" s="49"/>
    </row>
    <row r="7" spans="1:14" x14ac:dyDescent="0.35">
      <c r="A7" s="47"/>
      <c r="B7" s="48"/>
      <c r="C7" s="48"/>
      <c r="D7" s="48"/>
      <c r="E7" s="48"/>
      <c r="F7" s="48"/>
      <c r="G7" s="48"/>
      <c r="H7" s="48"/>
      <c r="I7" s="48"/>
      <c r="J7" s="48"/>
      <c r="K7" s="48"/>
      <c r="L7" s="48"/>
      <c r="M7" s="48"/>
      <c r="N7" s="49"/>
    </row>
    <row r="8" spans="1:14" x14ac:dyDescent="0.35">
      <c r="A8" s="47"/>
      <c r="B8" s="48"/>
      <c r="C8" s="48"/>
      <c r="D8" s="48"/>
      <c r="E8" s="48"/>
      <c r="F8" s="48"/>
      <c r="G8" s="48"/>
      <c r="H8" s="48"/>
      <c r="I8" s="48"/>
      <c r="J8" s="48"/>
      <c r="K8" s="48"/>
      <c r="L8" s="48"/>
      <c r="M8" s="48"/>
      <c r="N8" s="49"/>
    </row>
    <row r="9" spans="1:14" x14ac:dyDescent="0.35">
      <c r="A9" s="47"/>
      <c r="B9" s="48"/>
      <c r="C9" s="48"/>
      <c r="D9" s="48"/>
      <c r="E9" s="48"/>
      <c r="F9" s="48"/>
      <c r="G9" s="48"/>
      <c r="H9" s="48"/>
      <c r="I9" s="48"/>
      <c r="J9" s="48"/>
      <c r="K9" s="48"/>
      <c r="L9" s="48"/>
      <c r="M9" s="48"/>
      <c r="N9" s="49"/>
    </row>
    <row r="10" spans="1:14" x14ac:dyDescent="0.35">
      <c r="A10" s="47"/>
      <c r="B10" s="48"/>
      <c r="C10" s="48"/>
      <c r="D10" s="48"/>
      <c r="E10" s="48"/>
      <c r="F10" s="48"/>
      <c r="G10" s="48"/>
      <c r="H10" s="48"/>
      <c r="I10" s="48"/>
      <c r="J10" s="48"/>
      <c r="K10" s="48"/>
      <c r="L10" s="48"/>
      <c r="M10" s="48"/>
      <c r="N10" s="49"/>
    </row>
    <row r="11" spans="1:14" x14ac:dyDescent="0.35">
      <c r="A11" s="47"/>
      <c r="B11" s="48"/>
      <c r="C11" s="48"/>
      <c r="D11" s="48"/>
      <c r="E11" s="48"/>
      <c r="F11" s="48"/>
      <c r="G11" s="48"/>
      <c r="H11" s="48"/>
      <c r="I11" s="48"/>
      <c r="J11" s="48"/>
      <c r="K11" s="48"/>
      <c r="L11" s="48"/>
      <c r="M11" s="48"/>
      <c r="N11" s="49"/>
    </row>
    <row r="12" spans="1:14" x14ac:dyDescent="0.35">
      <c r="A12" s="47"/>
      <c r="B12" s="48"/>
      <c r="C12" s="48"/>
      <c r="D12" s="48"/>
      <c r="E12" s="48"/>
      <c r="F12" s="48"/>
      <c r="G12" s="48"/>
      <c r="H12" s="48"/>
      <c r="I12" s="48"/>
      <c r="J12" s="48"/>
      <c r="K12" s="48"/>
      <c r="L12" s="48"/>
      <c r="M12" s="48"/>
      <c r="N12" s="49"/>
    </row>
    <row r="13" spans="1:14" x14ac:dyDescent="0.35">
      <c r="A13" s="47"/>
      <c r="B13" s="48"/>
      <c r="C13" s="48"/>
      <c r="D13" s="48"/>
      <c r="E13" s="48"/>
      <c r="F13" s="48"/>
      <c r="G13" s="48"/>
      <c r="H13" s="48"/>
      <c r="I13" s="48"/>
      <c r="J13" s="48"/>
      <c r="K13" s="48"/>
      <c r="L13" s="48"/>
      <c r="M13" s="48"/>
      <c r="N13" s="49"/>
    </row>
    <row r="14" spans="1:14" x14ac:dyDescent="0.35">
      <c r="A14" s="47"/>
      <c r="B14" s="48"/>
      <c r="C14" s="48"/>
      <c r="D14" s="48"/>
      <c r="E14" s="48"/>
      <c r="F14" s="48"/>
      <c r="G14" s="48"/>
      <c r="H14" s="48"/>
      <c r="I14" s="48"/>
      <c r="J14" s="48"/>
      <c r="K14" s="48"/>
      <c r="L14" s="48"/>
      <c r="M14" s="48"/>
      <c r="N14" s="49"/>
    </row>
    <row r="15" spans="1:14" x14ac:dyDescent="0.35">
      <c r="A15" s="47"/>
      <c r="B15" s="48"/>
      <c r="C15" s="48"/>
      <c r="D15" s="48"/>
      <c r="E15" s="48"/>
      <c r="F15" s="48"/>
      <c r="G15" s="48"/>
      <c r="H15" s="48"/>
      <c r="I15" s="48"/>
      <c r="J15" s="48"/>
      <c r="K15" s="48"/>
      <c r="L15" s="48"/>
      <c r="M15" s="48"/>
      <c r="N15" s="49"/>
    </row>
    <row r="16" spans="1:14" x14ac:dyDescent="0.35">
      <c r="A16" s="47"/>
      <c r="B16" s="48"/>
      <c r="C16" s="48"/>
      <c r="D16" s="48"/>
      <c r="E16" s="48"/>
      <c r="F16" s="48"/>
      <c r="G16" s="48"/>
      <c r="H16" s="48"/>
      <c r="I16" s="48"/>
      <c r="J16" s="48"/>
      <c r="K16" s="48"/>
      <c r="L16" s="48"/>
      <c r="M16" s="48"/>
      <c r="N16" s="49"/>
    </row>
    <row r="17" spans="1:14" x14ac:dyDescent="0.35">
      <c r="A17" s="47"/>
      <c r="B17" s="48"/>
      <c r="C17" s="48"/>
      <c r="D17" s="48"/>
      <c r="E17" s="48"/>
      <c r="F17" s="48"/>
      <c r="G17" s="48"/>
      <c r="H17" s="48"/>
      <c r="I17" s="48"/>
      <c r="J17" s="48"/>
      <c r="K17" s="48"/>
      <c r="L17" s="48"/>
      <c r="M17" s="48"/>
      <c r="N17" s="49"/>
    </row>
    <row r="18" spans="1:14" x14ac:dyDescent="0.35">
      <c r="A18" s="47"/>
      <c r="B18" s="48"/>
      <c r="C18" s="48"/>
      <c r="D18" s="48"/>
      <c r="E18" s="48"/>
      <c r="F18" s="48"/>
      <c r="G18" s="48"/>
      <c r="H18" s="48"/>
      <c r="I18" s="48"/>
      <c r="J18" s="48"/>
      <c r="K18" s="48"/>
      <c r="L18" s="48"/>
      <c r="M18" s="48"/>
      <c r="N18" s="49"/>
    </row>
    <row r="19" spans="1:14" x14ac:dyDescent="0.35">
      <c r="A19" s="47"/>
      <c r="B19" s="48"/>
      <c r="C19" s="48"/>
      <c r="D19" s="48"/>
      <c r="E19" s="48"/>
      <c r="F19" s="48"/>
      <c r="G19" s="48"/>
      <c r="H19" s="48"/>
      <c r="I19" s="48"/>
      <c r="J19" s="48"/>
      <c r="K19" s="48"/>
      <c r="L19" s="48"/>
      <c r="M19" s="48"/>
      <c r="N19" s="49"/>
    </row>
    <row r="20" spans="1:14" x14ac:dyDescent="0.35">
      <c r="A20" s="47"/>
      <c r="B20" s="48"/>
      <c r="C20" s="48"/>
      <c r="D20" s="48"/>
      <c r="E20" s="48"/>
      <c r="F20" s="48"/>
      <c r="G20" s="48"/>
      <c r="H20" s="48"/>
      <c r="I20" s="48"/>
      <c r="J20" s="48"/>
      <c r="K20" s="48"/>
      <c r="L20" s="48"/>
      <c r="M20" s="48"/>
      <c r="N20" s="49"/>
    </row>
    <row r="21" spans="1:14" x14ac:dyDescent="0.35">
      <c r="A21" s="47"/>
      <c r="B21" s="48"/>
      <c r="C21" s="48"/>
      <c r="D21" s="48"/>
      <c r="E21" s="48"/>
      <c r="F21" s="48"/>
      <c r="G21" s="48"/>
      <c r="H21" s="48"/>
      <c r="I21" s="48"/>
      <c r="J21" s="48"/>
      <c r="K21" s="48"/>
      <c r="L21" s="48"/>
      <c r="M21" s="48"/>
      <c r="N21" s="49"/>
    </row>
    <row r="22" spans="1:14" x14ac:dyDescent="0.35">
      <c r="A22" s="47"/>
      <c r="B22" s="48"/>
      <c r="C22" s="48"/>
      <c r="D22" s="48"/>
      <c r="E22" s="48"/>
      <c r="F22" s="48"/>
      <c r="G22" s="48"/>
      <c r="H22" s="48"/>
      <c r="I22" s="48"/>
      <c r="J22" s="48"/>
      <c r="K22" s="48"/>
      <c r="L22" s="48"/>
      <c r="M22" s="48"/>
      <c r="N22" s="49"/>
    </row>
    <row r="23" spans="1:14" x14ac:dyDescent="0.35">
      <c r="A23" s="47"/>
      <c r="B23" s="48"/>
      <c r="C23" s="48"/>
      <c r="D23" s="48"/>
      <c r="E23" s="48"/>
      <c r="F23" s="48"/>
      <c r="G23" s="48"/>
      <c r="H23" s="48"/>
      <c r="I23" s="48"/>
      <c r="J23" s="48"/>
      <c r="K23" s="48"/>
      <c r="L23" s="48"/>
      <c r="M23" s="48"/>
      <c r="N23" s="49"/>
    </row>
    <row r="24" spans="1:14" x14ac:dyDescent="0.35">
      <c r="A24" s="47"/>
      <c r="B24" s="48"/>
      <c r="C24" s="48"/>
      <c r="D24" s="48"/>
      <c r="E24" s="48"/>
      <c r="F24" s="48"/>
      <c r="G24" s="48"/>
      <c r="H24" s="48"/>
      <c r="I24" s="48"/>
      <c r="J24" s="48"/>
      <c r="K24" s="48"/>
      <c r="L24" s="48"/>
      <c r="M24" s="48"/>
      <c r="N24" s="49"/>
    </row>
    <row r="25" spans="1:14" x14ac:dyDescent="0.35">
      <c r="A25" s="47"/>
      <c r="B25" s="48"/>
      <c r="C25" s="48"/>
      <c r="D25" s="48"/>
      <c r="E25" s="48"/>
      <c r="F25" s="48"/>
      <c r="G25" s="48"/>
      <c r="H25" s="48"/>
      <c r="I25" s="48"/>
      <c r="J25" s="48"/>
      <c r="K25" s="48"/>
      <c r="L25" s="48"/>
      <c r="M25" s="48"/>
      <c r="N25" s="49"/>
    </row>
    <row r="26" spans="1:14" x14ac:dyDescent="0.35">
      <c r="A26" s="47"/>
      <c r="B26" s="48"/>
      <c r="C26" s="48"/>
      <c r="D26" s="48"/>
      <c r="E26" s="48"/>
      <c r="F26" s="48"/>
      <c r="G26" s="48"/>
      <c r="H26" s="48"/>
      <c r="I26" s="48"/>
      <c r="J26" s="48"/>
      <c r="K26" s="48"/>
      <c r="L26" s="48"/>
      <c r="M26" s="48"/>
      <c r="N26" s="49"/>
    </row>
    <row r="27" spans="1:14" x14ac:dyDescent="0.35">
      <c r="A27" s="47"/>
      <c r="B27" s="48"/>
      <c r="C27" s="48"/>
      <c r="D27" s="48"/>
      <c r="E27" s="48"/>
      <c r="F27" s="48"/>
      <c r="G27" s="48"/>
      <c r="H27" s="48"/>
      <c r="I27" s="48"/>
      <c r="J27" s="48"/>
      <c r="K27" s="48"/>
      <c r="L27" s="48"/>
      <c r="M27" s="48"/>
      <c r="N27" s="49"/>
    </row>
    <row r="28" spans="1:14" x14ac:dyDescent="0.35">
      <c r="A28" s="47"/>
      <c r="B28" s="48"/>
      <c r="C28" s="48"/>
      <c r="D28" s="48"/>
      <c r="E28" s="48"/>
      <c r="F28" s="48"/>
      <c r="G28" s="48"/>
      <c r="H28" s="48"/>
      <c r="I28" s="48"/>
      <c r="J28" s="48"/>
      <c r="K28" s="48"/>
      <c r="L28" s="48"/>
      <c r="M28" s="48"/>
      <c r="N28" s="49"/>
    </row>
    <row r="29" spans="1:14" x14ac:dyDescent="0.35">
      <c r="A29" s="47"/>
      <c r="B29" s="48"/>
      <c r="C29" s="48"/>
      <c r="D29" s="48"/>
      <c r="E29" s="48"/>
      <c r="F29" s="48"/>
      <c r="G29" s="48"/>
      <c r="H29" s="48"/>
      <c r="I29" s="48"/>
      <c r="J29" s="48"/>
      <c r="K29" s="48"/>
      <c r="L29" s="48"/>
      <c r="M29" s="48"/>
      <c r="N29" s="49"/>
    </row>
    <row r="30" spans="1:14" x14ac:dyDescent="0.35">
      <c r="A30" s="47"/>
      <c r="B30" s="48"/>
      <c r="C30" s="48"/>
      <c r="D30" s="48"/>
      <c r="E30" s="48"/>
      <c r="F30" s="48"/>
      <c r="G30" s="48"/>
      <c r="H30" s="48"/>
      <c r="I30" s="48"/>
      <c r="J30" s="48"/>
      <c r="K30" s="48"/>
      <c r="L30" s="48"/>
      <c r="M30" s="48"/>
      <c r="N30" s="49"/>
    </row>
    <row r="31" spans="1:14" x14ac:dyDescent="0.35">
      <c r="A31" s="47"/>
      <c r="B31" s="48"/>
      <c r="C31" s="48"/>
      <c r="D31" s="48"/>
      <c r="E31" s="48"/>
      <c r="F31" s="48"/>
      <c r="G31" s="48"/>
      <c r="H31" s="48"/>
      <c r="I31" s="48"/>
      <c r="J31" s="48"/>
      <c r="K31" s="48"/>
      <c r="L31" s="48"/>
      <c r="M31" s="48"/>
      <c r="N31" s="49"/>
    </row>
    <row r="32" spans="1:14" x14ac:dyDescent="0.35">
      <c r="A32" s="36"/>
      <c r="B32" s="37"/>
      <c r="C32" s="37"/>
      <c r="D32" s="37"/>
      <c r="E32" s="37"/>
      <c r="F32" s="37"/>
      <c r="G32" s="37"/>
      <c r="H32" s="37"/>
      <c r="I32" s="37"/>
      <c r="J32" s="37"/>
      <c r="K32" s="37"/>
      <c r="L32" s="37"/>
      <c r="M32" s="37"/>
      <c r="N32" s="38"/>
    </row>
    <row r="33" spans="1:14" ht="12.25" customHeight="1" x14ac:dyDescent="0.35">
      <c r="A33" s="50" t="str">
        <f ca="1">"©  "&amp;YEAR(TODAY())&amp;" Break Into CRE (www.breakintocre.com). All Rights Reserved."</f>
        <v>©  2024 Break Into CRE (www.breakintocre.com). All Rights Reserved.</v>
      </c>
      <c r="B33" s="51"/>
      <c r="C33" s="51"/>
      <c r="D33" s="51"/>
      <c r="E33" s="51"/>
      <c r="F33" s="51"/>
      <c r="G33" s="51"/>
      <c r="H33" s="51"/>
      <c r="I33" s="51"/>
      <c r="J33" s="51"/>
      <c r="K33" s="51"/>
      <c r="L33" s="51"/>
      <c r="M33" s="51"/>
      <c r="N33" s="52"/>
    </row>
    <row r="34" spans="1:14" x14ac:dyDescent="0.35">
      <c r="A34" s="35"/>
      <c r="B34" s="35"/>
      <c r="C34" s="35"/>
      <c r="D34" s="35"/>
      <c r="E34" s="35"/>
      <c r="F34" s="35"/>
      <c r="G34" s="35"/>
      <c r="H34" s="35"/>
      <c r="I34" s="35"/>
      <c r="J34" s="35"/>
      <c r="K34" s="35"/>
      <c r="L34" s="35"/>
      <c r="M34" s="35"/>
      <c r="N34" s="35"/>
    </row>
    <row r="35" spans="1:14" x14ac:dyDescent="0.35">
      <c r="A35" s="35"/>
      <c r="B35" s="35"/>
      <c r="C35" s="35"/>
      <c r="D35" s="35"/>
      <c r="E35" s="35"/>
      <c r="F35" s="35"/>
      <c r="G35" s="35"/>
      <c r="H35" s="35"/>
      <c r="I35" s="35"/>
      <c r="J35" s="35"/>
      <c r="K35" s="35"/>
      <c r="L35" s="35"/>
      <c r="M35" s="35"/>
      <c r="N35" s="35"/>
    </row>
    <row r="36" spans="1:14" x14ac:dyDescent="0.35">
      <c r="A36" s="35"/>
      <c r="B36" s="35"/>
      <c r="C36" s="35"/>
      <c r="D36" s="35"/>
      <c r="E36" s="35"/>
      <c r="F36" s="35"/>
      <c r="G36" s="35"/>
      <c r="H36" s="35"/>
      <c r="I36" s="35"/>
      <c r="J36" s="35"/>
      <c r="K36" s="35"/>
      <c r="L36" s="35"/>
      <c r="M36" s="35"/>
      <c r="N36" s="35"/>
    </row>
    <row r="37" spans="1:14" x14ac:dyDescent="0.35">
      <c r="A37" s="35"/>
      <c r="B37" s="35"/>
      <c r="C37" s="35"/>
      <c r="D37" s="35"/>
      <c r="E37" s="35"/>
      <c r="F37" s="35"/>
      <c r="G37" s="35"/>
      <c r="H37" s="35"/>
      <c r="I37" s="35"/>
      <c r="J37" s="35"/>
      <c r="K37" s="35"/>
      <c r="L37" s="35"/>
      <c r="M37" s="35"/>
      <c r="N37" s="35"/>
    </row>
    <row r="38" spans="1:14" x14ac:dyDescent="0.35">
      <c r="A38" s="35"/>
      <c r="B38" s="35"/>
      <c r="C38" s="35"/>
      <c r="D38" s="35"/>
      <c r="E38" s="35"/>
      <c r="F38" s="35"/>
      <c r="G38" s="35"/>
      <c r="H38" s="35"/>
      <c r="I38" s="35"/>
      <c r="J38" s="35"/>
      <c r="K38" s="35"/>
      <c r="L38" s="35"/>
      <c r="M38" s="35"/>
      <c r="N38" s="35"/>
    </row>
    <row r="39" spans="1:14" x14ac:dyDescent="0.35">
      <c r="A39" s="35"/>
      <c r="B39" s="35"/>
      <c r="C39" s="35"/>
      <c r="D39" s="35"/>
      <c r="E39" s="35"/>
      <c r="F39" s="35"/>
      <c r="G39" s="35"/>
      <c r="H39" s="35"/>
      <c r="I39" s="35"/>
      <c r="J39" s="35"/>
      <c r="K39" s="35"/>
      <c r="L39" s="35"/>
      <c r="M39" s="35"/>
      <c r="N39" s="35"/>
    </row>
    <row r="40" spans="1:14" x14ac:dyDescent="0.35">
      <c r="A40" s="35"/>
      <c r="B40" s="35"/>
      <c r="C40" s="35"/>
      <c r="D40" s="35"/>
      <c r="E40" s="35"/>
      <c r="F40" s="35"/>
      <c r="G40" s="35"/>
      <c r="H40" s="35"/>
      <c r="I40" s="35"/>
      <c r="J40" s="35"/>
      <c r="K40" s="35"/>
      <c r="L40" s="35"/>
      <c r="M40" s="35"/>
      <c r="N40" s="35"/>
    </row>
    <row r="41" spans="1:14" x14ac:dyDescent="0.35">
      <c r="A41" s="35"/>
      <c r="B41" s="35"/>
      <c r="C41" s="35"/>
      <c r="D41" s="35"/>
      <c r="E41" s="35"/>
      <c r="F41" s="35"/>
      <c r="G41" s="35"/>
      <c r="H41" s="35"/>
      <c r="I41" s="35"/>
      <c r="J41" s="35"/>
      <c r="K41" s="35"/>
      <c r="L41" s="35"/>
      <c r="M41" s="35"/>
      <c r="N41" s="35"/>
    </row>
    <row r="42" spans="1:14" x14ac:dyDescent="0.35">
      <c r="A42" s="35"/>
      <c r="B42" s="35"/>
      <c r="C42" s="35"/>
      <c r="D42" s="35"/>
      <c r="E42" s="35"/>
      <c r="F42" s="35"/>
      <c r="G42" s="35"/>
      <c r="H42" s="35"/>
      <c r="I42" s="35"/>
      <c r="J42" s="35"/>
      <c r="K42" s="35"/>
      <c r="L42" s="35"/>
      <c r="M42" s="35"/>
      <c r="N42" s="35"/>
    </row>
    <row r="43" spans="1:14" x14ac:dyDescent="0.35">
      <c r="A43" s="35"/>
      <c r="B43" s="35"/>
      <c r="C43" s="35"/>
      <c r="D43" s="35"/>
      <c r="E43" s="35"/>
      <c r="F43" s="35"/>
      <c r="G43" s="35"/>
      <c r="H43" s="35"/>
      <c r="I43" s="35"/>
      <c r="J43" s="35"/>
      <c r="K43" s="35"/>
      <c r="L43" s="35"/>
      <c r="M43" s="35"/>
      <c r="N43" s="35"/>
    </row>
    <row r="44" spans="1:14" x14ac:dyDescent="0.35">
      <c r="A44" s="35"/>
      <c r="B44" s="35"/>
      <c r="C44" s="35"/>
      <c r="D44" s="35"/>
      <c r="E44" s="35"/>
      <c r="F44" s="35"/>
      <c r="G44" s="35"/>
      <c r="H44" s="35"/>
      <c r="I44" s="35"/>
      <c r="J44" s="35"/>
      <c r="K44" s="35"/>
      <c r="L44" s="35"/>
      <c r="M44" s="35"/>
      <c r="N44" s="35"/>
    </row>
    <row r="45" spans="1:14" x14ac:dyDescent="0.35">
      <c r="A45" s="35"/>
      <c r="B45" s="35"/>
      <c r="C45" s="35"/>
      <c r="D45" s="35"/>
      <c r="E45" s="35"/>
      <c r="F45" s="35"/>
      <c r="G45" s="35"/>
      <c r="H45" s="35"/>
      <c r="I45" s="35"/>
      <c r="J45" s="35"/>
      <c r="K45" s="35"/>
      <c r="L45" s="35"/>
      <c r="M45" s="35"/>
      <c r="N45" s="35"/>
    </row>
    <row r="46" spans="1:14" x14ac:dyDescent="0.35">
      <c r="A46" s="35"/>
      <c r="B46" s="35"/>
      <c r="C46" s="35"/>
      <c r="D46" s="35"/>
      <c r="E46" s="35"/>
      <c r="F46" s="35"/>
      <c r="G46" s="35"/>
      <c r="H46" s="35"/>
      <c r="I46" s="35"/>
      <c r="J46" s="35"/>
      <c r="K46" s="35"/>
      <c r="L46" s="35"/>
      <c r="M46" s="35"/>
      <c r="N46" s="35"/>
    </row>
    <row r="47" spans="1:14" x14ac:dyDescent="0.35">
      <c r="A47" s="35"/>
      <c r="B47" s="35"/>
      <c r="C47" s="35"/>
      <c r="D47" s="35"/>
      <c r="E47" s="35"/>
      <c r="F47" s="35"/>
      <c r="G47" s="35"/>
      <c r="H47" s="35"/>
      <c r="I47" s="35"/>
      <c r="J47" s="35"/>
      <c r="K47" s="35"/>
      <c r="L47" s="35"/>
      <c r="M47" s="35"/>
      <c r="N47" s="35"/>
    </row>
  </sheetData>
  <mergeCells count="2">
    <mergeCell ref="A5:N31"/>
    <mergeCell ref="A33:N33"/>
  </mergeCells>
  <pageMargins left="0.7" right="0.7" top="0.75" bottom="0.75" header="0.3" footer="0.3"/>
  <pageSetup scale="72"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373D-9D64-4E9D-9935-98CD47A4159B}">
  <dimension ref="A1:Q36"/>
  <sheetViews>
    <sheetView showGridLines="0" tabSelected="1" zoomScaleNormal="100" workbookViewId="0"/>
  </sheetViews>
  <sheetFormatPr defaultColWidth="8.81640625" defaultRowHeight="13.5" x14ac:dyDescent="0.35"/>
  <cols>
    <col min="1" max="1" width="31.90625" style="1" bestFit="1" customWidth="1"/>
    <col min="2" max="2" width="12.08984375" style="1" bestFit="1" customWidth="1"/>
    <col min="3" max="3" width="5.81640625" style="1" customWidth="1"/>
    <col min="4" max="4" width="27.36328125" style="1" bestFit="1" customWidth="1"/>
    <col min="5" max="5" width="14.08984375" style="1" bestFit="1" customWidth="1"/>
    <col min="6" max="14" width="12.81640625" style="1" bestFit="1" customWidth="1"/>
    <col min="15" max="15" width="13.453125" style="1" bestFit="1" customWidth="1"/>
    <col min="16" max="16" width="12.81640625" style="1" bestFit="1" customWidth="1"/>
    <col min="17" max="16384" width="8.81640625" style="1"/>
  </cols>
  <sheetData>
    <row r="1" spans="1:17" x14ac:dyDescent="0.35">
      <c r="A1" s="5" t="s">
        <v>24</v>
      </c>
      <c r="B1" s="6"/>
      <c r="D1" s="17" t="s">
        <v>36</v>
      </c>
      <c r="E1" s="39">
        <v>0</v>
      </c>
      <c r="F1" s="40">
        <v>1</v>
      </c>
      <c r="G1" s="40">
        <f>F1+1</f>
        <v>2</v>
      </c>
      <c r="H1" s="40">
        <f t="shared" ref="H1:P1" si="0">G1+1</f>
        <v>3</v>
      </c>
      <c r="I1" s="40">
        <f t="shared" si="0"/>
        <v>4</v>
      </c>
      <c r="J1" s="40">
        <f t="shared" si="0"/>
        <v>5</v>
      </c>
      <c r="K1" s="40">
        <f t="shared" si="0"/>
        <v>6</v>
      </c>
      <c r="L1" s="40">
        <f t="shared" si="0"/>
        <v>7</v>
      </c>
      <c r="M1" s="40">
        <f t="shared" si="0"/>
        <v>8</v>
      </c>
      <c r="N1" s="40">
        <f t="shared" si="0"/>
        <v>9</v>
      </c>
      <c r="O1" s="40">
        <f t="shared" si="0"/>
        <v>10</v>
      </c>
      <c r="P1" s="40">
        <f t="shared" si="0"/>
        <v>11</v>
      </c>
      <c r="Q1" s="18"/>
    </row>
    <row r="2" spans="1:17" x14ac:dyDescent="0.35">
      <c r="A2" s="2" t="s">
        <v>0</v>
      </c>
      <c r="B2" s="7">
        <v>20000000</v>
      </c>
      <c r="D2" s="17" t="s">
        <v>50</v>
      </c>
      <c r="E2" s="21">
        <f>B4</f>
        <v>45838</v>
      </c>
      <c r="F2" s="21">
        <f>EOMONTH(E2,12)</f>
        <v>46203</v>
      </c>
      <c r="G2" s="21">
        <f t="shared" ref="G2:P2" si="1">EOMONTH(F2,12)</f>
        <v>46568</v>
      </c>
      <c r="H2" s="21">
        <f t="shared" si="1"/>
        <v>46934</v>
      </c>
      <c r="I2" s="21">
        <f t="shared" si="1"/>
        <v>47299</v>
      </c>
      <c r="J2" s="21">
        <f t="shared" si="1"/>
        <v>47664</v>
      </c>
      <c r="K2" s="21">
        <f t="shared" si="1"/>
        <v>48029</v>
      </c>
      <c r="L2" s="21">
        <f t="shared" si="1"/>
        <v>48395</v>
      </c>
      <c r="M2" s="21">
        <f t="shared" si="1"/>
        <v>48760</v>
      </c>
      <c r="N2" s="21">
        <f t="shared" si="1"/>
        <v>49125</v>
      </c>
      <c r="O2" s="21">
        <f t="shared" si="1"/>
        <v>49490</v>
      </c>
      <c r="P2" s="21">
        <f t="shared" si="1"/>
        <v>49856</v>
      </c>
      <c r="Q2" s="18"/>
    </row>
    <row r="3" spans="1:17" x14ac:dyDescent="0.35">
      <c r="A3" s="3" t="s">
        <v>1</v>
      </c>
      <c r="B3" s="19">
        <v>200000</v>
      </c>
      <c r="D3" s="2" t="s">
        <v>5</v>
      </c>
      <c r="E3" s="23">
        <v>0</v>
      </c>
      <c r="F3" s="23">
        <f>B7*B8</f>
        <v>2500000</v>
      </c>
      <c r="G3" s="23">
        <f t="shared" ref="G3:P3" si="2">F3*(1+$B$10)</f>
        <v>2600000</v>
      </c>
      <c r="H3" s="23">
        <f t="shared" si="2"/>
        <v>2704000</v>
      </c>
      <c r="I3" s="23">
        <f t="shared" si="2"/>
        <v>2812160</v>
      </c>
      <c r="J3" s="23">
        <f t="shared" si="2"/>
        <v>2924646.3999999999</v>
      </c>
      <c r="K3" s="23">
        <f t="shared" si="2"/>
        <v>3041632.2560000001</v>
      </c>
      <c r="L3" s="23">
        <f t="shared" si="2"/>
        <v>3163297.5462400001</v>
      </c>
      <c r="M3" s="23">
        <f t="shared" si="2"/>
        <v>3289829.4480896001</v>
      </c>
      <c r="N3" s="23">
        <f t="shared" si="2"/>
        <v>3421422.626013184</v>
      </c>
      <c r="O3" s="23">
        <f t="shared" si="2"/>
        <v>3558279.5310537117</v>
      </c>
      <c r="P3" s="24">
        <f t="shared" si="2"/>
        <v>3700610.7122958601</v>
      </c>
      <c r="Q3" s="18"/>
    </row>
    <row r="4" spans="1:17" x14ac:dyDescent="0.35">
      <c r="A4" s="4" t="s">
        <v>37</v>
      </c>
      <c r="B4" s="20">
        <v>45838</v>
      </c>
      <c r="D4" s="3" t="s">
        <v>6</v>
      </c>
      <c r="E4" s="25">
        <v>0</v>
      </c>
      <c r="F4" s="25">
        <f t="shared" ref="F4:P4" si="3">-$B$9*F3</f>
        <v>-187500</v>
      </c>
      <c r="G4" s="25">
        <f t="shared" si="3"/>
        <v>-195000</v>
      </c>
      <c r="H4" s="25">
        <f t="shared" si="3"/>
        <v>-202800</v>
      </c>
      <c r="I4" s="25">
        <f t="shared" si="3"/>
        <v>-210912</v>
      </c>
      <c r="J4" s="25">
        <f t="shared" si="3"/>
        <v>-219348.47999999998</v>
      </c>
      <c r="K4" s="25">
        <f t="shared" si="3"/>
        <v>-228122.4192</v>
      </c>
      <c r="L4" s="25">
        <f t="shared" si="3"/>
        <v>-237247.31596799998</v>
      </c>
      <c r="M4" s="25">
        <f t="shared" si="3"/>
        <v>-246737.20860672</v>
      </c>
      <c r="N4" s="25">
        <f t="shared" si="3"/>
        <v>-256606.69695098879</v>
      </c>
      <c r="O4" s="25">
        <f t="shared" si="3"/>
        <v>-266870.96482902835</v>
      </c>
      <c r="P4" s="26">
        <f t="shared" si="3"/>
        <v>-277545.80342218949</v>
      </c>
      <c r="Q4" s="18"/>
    </row>
    <row r="5" spans="1:17" x14ac:dyDescent="0.35">
      <c r="D5" s="22" t="s">
        <v>7</v>
      </c>
      <c r="E5" s="27">
        <v>0</v>
      </c>
      <c r="F5" s="27">
        <f>SUM(F3:F4)</f>
        <v>2312500</v>
      </c>
      <c r="G5" s="27">
        <f t="shared" ref="G5:P5" si="4">SUM(G3:G4)</f>
        <v>2405000</v>
      </c>
      <c r="H5" s="27">
        <f t="shared" si="4"/>
        <v>2501200</v>
      </c>
      <c r="I5" s="27">
        <f t="shared" si="4"/>
        <v>2601248</v>
      </c>
      <c r="J5" s="27">
        <f t="shared" si="4"/>
        <v>2705297.92</v>
      </c>
      <c r="K5" s="27">
        <f t="shared" si="4"/>
        <v>2813509.8368000002</v>
      </c>
      <c r="L5" s="27">
        <f t="shared" si="4"/>
        <v>2926050.2302720002</v>
      </c>
      <c r="M5" s="27">
        <f t="shared" si="4"/>
        <v>3043092.2394828801</v>
      </c>
      <c r="N5" s="27">
        <f t="shared" si="4"/>
        <v>3164815.9290621951</v>
      </c>
      <c r="O5" s="27">
        <f t="shared" si="4"/>
        <v>3291408.5662246831</v>
      </c>
      <c r="P5" s="28">
        <f t="shared" si="4"/>
        <v>3423064.9088736707</v>
      </c>
      <c r="Q5" s="18"/>
    </row>
    <row r="6" spans="1:17" x14ac:dyDescent="0.35">
      <c r="A6" s="5" t="s">
        <v>23</v>
      </c>
      <c r="B6" s="6"/>
      <c r="D6" s="3"/>
      <c r="E6" s="25"/>
      <c r="F6" s="25"/>
      <c r="G6" s="25"/>
      <c r="H6" s="25"/>
      <c r="I6" s="25"/>
      <c r="J6" s="25"/>
      <c r="K6" s="25"/>
      <c r="L6" s="25"/>
      <c r="M6" s="25"/>
      <c r="N6" s="25"/>
      <c r="O6" s="25"/>
      <c r="P6" s="26"/>
      <c r="Q6" s="18"/>
    </row>
    <row r="7" spans="1:17" x14ac:dyDescent="0.35">
      <c r="A7" s="2" t="s">
        <v>2</v>
      </c>
      <c r="B7" s="8">
        <v>50000</v>
      </c>
      <c r="D7" s="22" t="s">
        <v>8</v>
      </c>
      <c r="E7" s="27">
        <v>0</v>
      </c>
      <c r="F7" s="27">
        <f>-B11*B7</f>
        <v>-1150000</v>
      </c>
      <c r="G7" s="27">
        <f>F7*(1+$B$12)</f>
        <v>-1184500</v>
      </c>
      <c r="H7" s="27">
        <f>G7*(1+$B$12)</f>
        <v>-1220035</v>
      </c>
      <c r="I7" s="27">
        <f t="shared" ref="I7:P7" si="5">H7*(1+$B$12)</f>
        <v>-1256636.05</v>
      </c>
      <c r="J7" s="27">
        <f t="shared" si="5"/>
        <v>-1294335.1315000001</v>
      </c>
      <c r="K7" s="27">
        <f t="shared" si="5"/>
        <v>-1333165.1854450002</v>
      </c>
      <c r="L7" s="27">
        <f t="shared" si="5"/>
        <v>-1373160.1410083503</v>
      </c>
      <c r="M7" s="27">
        <f t="shared" si="5"/>
        <v>-1414354.945238601</v>
      </c>
      <c r="N7" s="27">
        <f t="shared" si="5"/>
        <v>-1456785.593595759</v>
      </c>
      <c r="O7" s="27">
        <f t="shared" si="5"/>
        <v>-1500489.1614036318</v>
      </c>
      <c r="P7" s="28">
        <f t="shared" si="5"/>
        <v>-1545503.8362457408</v>
      </c>
      <c r="Q7" s="18"/>
    </row>
    <row r="8" spans="1:17" x14ac:dyDescent="0.35">
      <c r="A8" s="3" t="s">
        <v>3</v>
      </c>
      <c r="B8" s="9">
        <v>50</v>
      </c>
      <c r="D8" s="3"/>
      <c r="E8" s="25"/>
      <c r="F8" s="25"/>
      <c r="G8" s="25"/>
      <c r="H8" s="25"/>
      <c r="I8" s="25"/>
      <c r="J8" s="25"/>
      <c r="K8" s="25"/>
      <c r="L8" s="25"/>
      <c r="M8" s="25"/>
      <c r="N8" s="25"/>
      <c r="O8" s="25"/>
      <c r="P8" s="26"/>
      <c r="Q8" s="18"/>
    </row>
    <row r="9" spans="1:17" x14ac:dyDescent="0.35">
      <c r="A9" s="3" t="s">
        <v>4</v>
      </c>
      <c r="B9" s="10">
        <v>7.4999999999999997E-2</v>
      </c>
      <c r="D9" s="22" t="s">
        <v>9</v>
      </c>
      <c r="E9" s="27">
        <v>0</v>
      </c>
      <c r="F9" s="27">
        <f>SUM(F5,F7)</f>
        <v>1162500</v>
      </c>
      <c r="G9" s="27">
        <f t="shared" ref="G9:P9" si="6">SUM(G5,G7)</f>
        <v>1220500</v>
      </c>
      <c r="H9" s="27">
        <f t="shared" si="6"/>
        <v>1281165</v>
      </c>
      <c r="I9" s="27">
        <f t="shared" si="6"/>
        <v>1344611.95</v>
      </c>
      <c r="J9" s="27">
        <f t="shared" si="6"/>
        <v>1410962.7884999998</v>
      </c>
      <c r="K9" s="27">
        <f t="shared" si="6"/>
        <v>1480344.651355</v>
      </c>
      <c r="L9" s="27">
        <f t="shared" si="6"/>
        <v>1552890.0892636499</v>
      </c>
      <c r="M9" s="27">
        <f t="shared" si="6"/>
        <v>1628737.2942442792</v>
      </c>
      <c r="N9" s="27">
        <f t="shared" si="6"/>
        <v>1708030.3354664361</v>
      </c>
      <c r="O9" s="27">
        <f t="shared" si="6"/>
        <v>1790919.4048210513</v>
      </c>
      <c r="P9" s="28">
        <f t="shared" si="6"/>
        <v>1877561.07262793</v>
      </c>
      <c r="Q9" s="18"/>
    </row>
    <row r="10" spans="1:17" x14ac:dyDescent="0.35">
      <c r="A10" s="3" t="s">
        <v>20</v>
      </c>
      <c r="B10" s="10">
        <v>0.04</v>
      </c>
      <c r="D10" s="3"/>
      <c r="E10" s="25"/>
      <c r="F10" s="25"/>
      <c r="G10" s="25"/>
      <c r="H10" s="25"/>
      <c r="I10" s="25"/>
      <c r="J10" s="25"/>
      <c r="K10" s="25"/>
      <c r="L10" s="25"/>
      <c r="M10" s="25"/>
      <c r="N10" s="25"/>
      <c r="O10" s="25"/>
      <c r="P10" s="26"/>
      <c r="Q10" s="18"/>
    </row>
    <row r="11" spans="1:17" x14ac:dyDescent="0.35">
      <c r="A11" s="3" t="s">
        <v>21</v>
      </c>
      <c r="B11" s="9">
        <v>23</v>
      </c>
      <c r="D11" s="3" t="s">
        <v>11</v>
      </c>
      <c r="E11" s="25">
        <v>0</v>
      </c>
      <c r="F11" s="25">
        <f>IF(F$1=$B$18,-$B$17,0)</f>
        <v>0</v>
      </c>
      <c r="G11" s="25">
        <f t="shared" ref="G11:O11" si="7">IF(G$1=$B$18,-$B$17,0)</f>
        <v>0</v>
      </c>
      <c r="H11" s="25">
        <f t="shared" si="7"/>
        <v>0</v>
      </c>
      <c r="I11" s="25">
        <f t="shared" si="7"/>
        <v>-125000</v>
      </c>
      <c r="J11" s="25">
        <f t="shared" si="7"/>
        <v>0</v>
      </c>
      <c r="K11" s="25">
        <f t="shared" si="7"/>
        <v>0</v>
      </c>
      <c r="L11" s="25">
        <f t="shared" si="7"/>
        <v>0</v>
      </c>
      <c r="M11" s="25">
        <f t="shared" si="7"/>
        <v>0</v>
      </c>
      <c r="N11" s="25">
        <f t="shared" si="7"/>
        <v>0</v>
      </c>
      <c r="O11" s="25">
        <f t="shared" si="7"/>
        <v>0</v>
      </c>
      <c r="P11" s="26"/>
      <c r="Q11" s="18"/>
    </row>
    <row r="12" spans="1:17" x14ac:dyDescent="0.35">
      <c r="A12" s="4" t="s">
        <v>22</v>
      </c>
      <c r="B12" s="11">
        <v>0.03</v>
      </c>
      <c r="D12" s="3" t="s">
        <v>10</v>
      </c>
      <c r="E12" s="25">
        <v>0</v>
      </c>
      <c r="F12" s="25">
        <f>IF(F$1=$B$20,-$B$19,0)</f>
        <v>0</v>
      </c>
      <c r="G12" s="25">
        <f t="shared" ref="G12:O12" si="8">IF(G$1=$B$20,-$B$19,0)</f>
        <v>0</v>
      </c>
      <c r="H12" s="25">
        <f t="shared" si="8"/>
        <v>0</v>
      </c>
      <c r="I12" s="25">
        <f t="shared" si="8"/>
        <v>-200000</v>
      </c>
      <c r="J12" s="25">
        <f t="shared" si="8"/>
        <v>0</v>
      </c>
      <c r="K12" s="25">
        <f t="shared" si="8"/>
        <v>0</v>
      </c>
      <c r="L12" s="25">
        <f t="shared" si="8"/>
        <v>0</v>
      </c>
      <c r="M12" s="25">
        <f t="shared" si="8"/>
        <v>0</v>
      </c>
      <c r="N12" s="25">
        <f t="shared" si="8"/>
        <v>0</v>
      </c>
      <c r="O12" s="25">
        <f t="shared" si="8"/>
        <v>0</v>
      </c>
      <c r="P12" s="26"/>
      <c r="Q12" s="18"/>
    </row>
    <row r="13" spans="1:17" x14ac:dyDescent="0.35">
      <c r="D13" s="3" t="s">
        <v>43</v>
      </c>
      <c r="E13" s="25">
        <v>0</v>
      </c>
      <c r="F13" s="25">
        <f>-B15*B7</f>
        <v>-25000</v>
      </c>
      <c r="G13" s="25">
        <f>F13*(1+$B$16)</f>
        <v>-25750</v>
      </c>
      <c r="H13" s="25">
        <f t="shared" ref="H13:O13" si="9">G13*(1+$B$16)</f>
        <v>-26522.5</v>
      </c>
      <c r="I13" s="25">
        <f t="shared" si="9"/>
        <v>-27318.174999999999</v>
      </c>
      <c r="J13" s="25">
        <f t="shared" si="9"/>
        <v>-28137.720249999998</v>
      </c>
      <c r="K13" s="25">
        <f t="shared" si="9"/>
        <v>-28981.851857499998</v>
      </c>
      <c r="L13" s="25">
        <f t="shared" si="9"/>
        <v>-29851.307413225</v>
      </c>
      <c r="M13" s="25">
        <f t="shared" si="9"/>
        <v>-30746.84663562175</v>
      </c>
      <c r="N13" s="25">
        <f t="shared" si="9"/>
        <v>-31669.252034690402</v>
      </c>
      <c r="O13" s="25">
        <f t="shared" si="9"/>
        <v>-32619.329595731117</v>
      </c>
      <c r="P13" s="26"/>
      <c r="Q13" s="18"/>
    </row>
    <row r="14" spans="1:17" x14ac:dyDescent="0.35">
      <c r="A14" s="5" t="s">
        <v>25</v>
      </c>
      <c r="B14" s="6"/>
      <c r="D14" s="22" t="s">
        <v>12</v>
      </c>
      <c r="E14" s="27">
        <v>0</v>
      </c>
      <c r="F14" s="27">
        <f t="shared" ref="F14:O14" si="10">SUM(F11:F13)</f>
        <v>-25000</v>
      </c>
      <c r="G14" s="27">
        <f t="shared" si="10"/>
        <v>-25750</v>
      </c>
      <c r="H14" s="27">
        <f t="shared" si="10"/>
        <v>-26522.5</v>
      </c>
      <c r="I14" s="27">
        <f t="shared" si="10"/>
        <v>-352318.17499999999</v>
      </c>
      <c r="J14" s="27">
        <f t="shared" si="10"/>
        <v>-28137.720249999998</v>
      </c>
      <c r="K14" s="27">
        <f t="shared" si="10"/>
        <v>-28981.851857499998</v>
      </c>
      <c r="L14" s="27">
        <f t="shared" si="10"/>
        <v>-29851.307413225</v>
      </c>
      <c r="M14" s="27">
        <f t="shared" si="10"/>
        <v>-30746.84663562175</v>
      </c>
      <c r="N14" s="27">
        <f t="shared" si="10"/>
        <v>-31669.252034690402</v>
      </c>
      <c r="O14" s="27">
        <f t="shared" si="10"/>
        <v>-32619.329595731117</v>
      </c>
      <c r="P14" s="28"/>
      <c r="Q14" s="18"/>
    </row>
    <row r="15" spans="1:17" x14ac:dyDescent="0.35">
      <c r="A15" s="2" t="s">
        <v>26</v>
      </c>
      <c r="B15" s="12">
        <v>0.5</v>
      </c>
      <c r="D15" s="3"/>
      <c r="E15" s="25"/>
      <c r="F15" s="25"/>
      <c r="G15" s="25"/>
      <c r="H15" s="25"/>
      <c r="I15" s="25"/>
      <c r="J15" s="25"/>
      <c r="K15" s="25"/>
      <c r="L15" s="25"/>
      <c r="M15" s="25"/>
      <c r="N15" s="25"/>
      <c r="O15" s="25"/>
      <c r="P15" s="26"/>
      <c r="Q15" s="18"/>
    </row>
    <row r="16" spans="1:17" x14ac:dyDescent="0.35">
      <c r="A16" s="3" t="s">
        <v>44</v>
      </c>
      <c r="B16" s="10">
        <v>0.03</v>
      </c>
      <c r="D16" s="22" t="s">
        <v>13</v>
      </c>
      <c r="E16" s="27">
        <v>0</v>
      </c>
      <c r="F16" s="27">
        <f t="shared" ref="F16:O16" si="11">SUM(F14,F9)</f>
        <v>1137500</v>
      </c>
      <c r="G16" s="27">
        <f t="shared" si="11"/>
        <v>1194750</v>
      </c>
      <c r="H16" s="27">
        <f t="shared" si="11"/>
        <v>1254642.5</v>
      </c>
      <c r="I16" s="27">
        <f t="shared" si="11"/>
        <v>992293.77499999991</v>
      </c>
      <c r="J16" s="27">
        <f t="shared" si="11"/>
        <v>1382825.0682499998</v>
      </c>
      <c r="K16" s="27">
        <f t="shared" si="11"/>
        <v>1451362.7994975001</v>
      </c>
      <c r="L16" s="27">
        <f t="shared" si="11"/>
        <v>1523038.7818504248</v>
      </c>
      <c r="M16" s="27">
        <f t="shared" si="11"/>
        <v>1597990.4476086574</v>
      </c>
      <c r="N16" s="27">
        <f t="shared" si="11"/>
        <v>1676361.0834317456</v>
      </c>
      <c r="O16" s="27">
        <f t="shared" si="11"/>
        <v>1758300.0752253202</v>
      </c>
      <c r="P16" s="28"/>
      <c r="Q16" s="18"/>
    </row>
    <row r="17" spans="1:17" x14ac:dyDescent="0.35">
      <c r="A17" s="3" t="s">
        <v>11</v>
      </c>
      <c r="B17" s="13">
        <v>125000</v>
      </c>
      <c r="D17" s="3"/>
      <c r="E17" s="25"/>
      <c r="F17" s="25"/>
      <c r="G17" s="25"/>
      <c r="H17" s="25"/>
      <c r="I17" s="25"/>
      <c r="J17" s="25"/>
      <c r="K17" s="25"/>
      <c r="L17" s="25"/>
      <c r="M17" s="25"/>
      <c r="N17" s="25"/>
      <c r="O17" s="25"/>
      <c r="P17" s="26"/>
      <c r="Q17" s="18"/>
    </row>
    <row r="18" spans="1:17" x14ac:dyDescent="0.35">
      <c r="A18" s="3" t="s">
        <v>28</v>
      </c>
      <c r="B18" s="14">
        <v>4</v>
      </c>
      <c r="D18" s="3" t="s">
        <v>14</v>
      </c>
      <c r="E18" s="25">
        <v>0</v>
      </c>
      <c r="F18" s="25">
        <f t="shared" ref="F18:O18" si="12">CUMPRINC($B$25/12,$B$26*12,$B$23,F$1*12-11,F$1*12,0)</f>
        <v>-247428.82240091221</v>
      </c>
      <c r="G18" s="25">
        <f t="shared" si="12"/>
        <v>-260087.75054558521</v>
      </c>
      <c r="H18" s="25">
        <f t="shared" si="12"/>
        <v>-273394.33347928809</v>
      </c>
      <c r="I18" s="25">
        <f t="shared" si="12"/>
        <v>-287381.70645019994</v>
      </c>
      <c r="J18" s="25">
        <f t="shared" si="12"/>
        <v>-302084.6999686833</v>
      </c>
      <c r="K18" s="25">
        <f t="shared" si="12"/>
        <v>-317539.92654011509</v>
      </c>
      <c r="L18" s="25">
        <f t="shared" si="12"/>
        <v>-333785.87183513353</v>
      </c>
      <c r="M18" s="25">
        <f t="shared" si="12"/>
        <v>-350862.99052432785</v>
      </c>
      <c r="N18" s="25">
        <f t="shared" si="12"/>
        <v>-368813.80701601307</v>
      </c>
      <c r="O18" s="25">
        <f t="shared" si="12"/>
        <v>-387683.02134793962</v>
      </c>
      <c r="P18" s="26"/>
      <c r="Q18" s="18"/>
    </row>
    <row r="19" spans="1:17" x14ac:dyDescent="0.35">
      <c r="A19" s="3" t="s">
        <v>27</v>
      </c>
      <c r="B19" s="13">
        <v>200000</v>
      </c>
      <c r="D19" s="3" t="s">
        <v>15</v>
      </c>
      <c r="E19" s="25">
        <v>0</v>
      </c>
      <c r="F19" s="25">
        <f t="shared" ref="F19:O19" si="13">CUMIPMT($B$25/12,$B$26*12,$B$23,F$1*12-11,F$1*12,0)</f>
        <v>-594380.83737057773</v>
      </c>
      <c r="G19" s="25">
        <f t="shared" si="13"/>
        <v>-581721.90922590473</v>
      </c>
      <c r="H19" s="25">
        <f t="shared" si="13"/>
        <v>-568415.32629220188</v>
      </c>
      <c r="I19" s="25">
        <f t="shared" si="13"/>
        <v>-554427.95332128997</v>
      </c>
      <c r="J19" s="25">
        <f t="shared" si="13"/>
        <v>-539724.95980280661</v>
      </c>
      <c r="K19" s="25">
        <f t="shared" si="13"/>
        <v>-524269.73323137482</v>
      </c>
      <c r="L19" s="25">
        <f t="shared" si="13"/>
        <v>-508023.78793635638</v>
      </c>
      <c r="M19" s="25">
        <f t="shared" si="13"/>
        <v>-490946.66924716206</v>
      </c>
      <c r="N19" s="25">
        <f t="shared" si="13"/>
        <v>-472995.85275547684</v>
      </c>
      <c r="O19" s="25">
        <f t="shared" si="13"/>
        <v>-454126.63842355029</v>
      </c>
      <c r="P19" s="26"/>
      <c r="Q19" s="18"/>
    </row>
    <row r="20" spans="1:17" x14ac:dyDescent="0.35">
      <c r="A20" s="4" t="s">
        <v>29</v>
      </c>
      <c r="B20" s="15">
        <v>4</v>
      </c>
      <c r="D20" s="22" t="s">
        <v>16</v>
      </c>
      <c r="E20" s="27">
        <v>0</v>
      </c>
      <c r="F20" s="27">
        <f>SUM(F18:F19)</f>
        <v>-841809.65977148991</v>
      </c>
      <c r="G20" s="27">
        <f t="shared" ref="G20:O20" si="14">SUM(G18:G19)</f>
        <v>-841809.65977148991</v>
      </c>
      <c r="H20" s="27">
        <f t="shared" si="14"/>
        <v>-841809.65977148991</v>
      </c>
      <c r="I20" s="27">
        <f t="shared" si="14"/>
        <v>-841809.65977148991</v>
      </c>
      <c r="J20" s="27">
        <f t="shared" si="14"/>
        <v>-841809.65977148991</v>
      </c>
      <c r="K20" s="27">
        <f t="shared" si="14"/>
        <v>-841809.65977148991</v>
      </c>
      <c r="L20" s="27">
        <f t="shared" si="14"/>
        <v>-841809.65977148991</v>
      </c>
      <c r="M20" s="27">
        <f t="shared" si="14"/>
        <v>-841809.65977148991</v>
      </c>
      <c r="N20" s="27">
        <f t="shared" si="14"/>
        <v>-841809.65977148991</v>
      </c>
      <c r="O20" s="27">
        <f t="shared" si="14"/>
        <v>-841809.65977148991</v>
      </c>
      <c r="P20" s="28"/>
      <c r="Q20" s="18"/>
    </row>
    <row r="21" spans="1:17" x14ac:dyDescent="0.35">
      <c r="D21" s="3"/>
      <c r="E21" s="25"/>
      <c r="F21" s="25"/>
      <c r="G21" s="25"/>
      <c r="H21" s="25"/>
      <c r="I21" s="25"/>
      <c r="J21" s="25"/>
      <c r="K21" s="25"/>
      <c r="L21" s="25"/>
      <c r="M21" s="25"/>
      <c r="N21" s="25"/>
      <c r="O21" s="25"/>
      <c r="P21" s="26"/>
      <c r="Q21" s="18"/>
    </row>
    <row r="22" spans="1:17" x14ac:dyDescent="0.35">
      <c r="A22" s="5" t="s">
        <v>30</v>
      </c>
      <c r="B22" s="6"/>
      <c r="D22" s="22" t="s">
        <v>17</v>
      </c>
      <c r="E22" s="27">
        <v>0</v>
      </c>
      <c r="F22" s="27">
        <f>SUM(F16,F20)</f>
        <v>295690.34022851009</v>
      </c>
      <c r="G22" s="27">
        <f t="shared" ref="G22:O22" si="15">SUM(G16,G20)</f>
        <v>352940.34022851009</v>
      </c>
      <c r="H22" s="27">
        <f t="shared" si="15"/>
        <v>412832.84022851009</v>
      </c>
      <c r="I22" s="27">
        <f t="shared" si="15"/>
        <v>150484.11522851</v>
      </c>
      <c r="J22" s="27">
        <f t="shared" si="15"/>
        <v>541015.40847850987</v>
      </c>
      <c r="K22" s="27">
        <f t="shared" si="15"/>
        <v>609553.13972601015</v>
      </c>
      <c r="L22" s="27">
        <f t="shared" si="15"/>
        <v>681229.12207893492</v>
      </c>
      <c r="M22" s="27">
        <f t="shared" si="15"/>
        <v>756180.7878371675</v>
      </c>
      <c r="N22" s="27">
        <f t="shared" si="15"/>
        <v>834551.42366025574</v>
      </c>
      <c r="O22" s="27">
        <f t="shared" si="15"/>
        <v>916490.41545383027</v>
      </c>
      <c r="P22" s="28"/>
      <c r="Q22" s="18"/>
    </row>
    <row r="23" spans="1:17" x14ac:dyDescent="0.35">
      <c r="A23" s="2" t="s">
        <v>34</v>
      </c>
      <c r="B23" s="7">
        <v>12000000</v>
      </c>
      <c r="D23" s="3"/>
      <c r="E23" s="25"/>
      <c r="F23" s="25"/>
      <c r="G23" s="25"/>
      <c r="H23" s="25"/>
      <c r="I23" s="25"/>
      <c r="J23" s="25"/>
      <c r="K23" s="25"/>
      <c r="L23" s="25"/>
      <c r="M23" s="25"/>
      <c r="N23" s="25"/>
      <c r="O23" s="25"/>
      <c r="P23" s="26"/>
      <c r="Q23" s="18"/>
    </row>
    <row r="24" spans="1:17" x14ac:dyDescent="0.35">
      <c r="A24" s="3" t="s">
        <v>45</v>
      </c>
      <c r="B24" s="10">
        <v>0.01</v>
      </c>
      <c r="D24" s="3" t="s">
        <v>0</v>
      </c>
      <c r="E24" s="25">
        <f>-B2</f>
        <v>-20000000</v>
      </c>
      <c r="F24" s="25">
        <v>0</v>
      </c>
      <c r="G24" s="25">
        <v>0</v>
      </c>
      <c r="H24" s="25">
        <v>0</v>
      </c>
      <c r="I24" s="25">
        <v>0</v>
      </c>
      <c r="J24" s="25">
        <v>0</v>
      </c>
      <c r="K24" s="25">
        <v>0</v>
      </c>
      <c r="L24" s="25">
        <v>0</v>
      </c>
      <c r="M24" s="25">
        <v>0</v>
      </c>
      <c r="N24" s="25">
        <v>0</v>
      </c>
      <c r="O24" s="25">
        <v>0</v>
      </c>
      <c r="P24" s="26"/>
      <c r="Q24" s="18"/>
    </row>
    <row r="25" spans="1:17" x14ac:dyDescent="0.35">
      <c r="A25" s="3" t="s">
        <v>33</v>
      </c>
      <c r="B25" s="10">
        <v>0.05</v>
      </c>
      <c r="D25" s="3" t="s">
        <v>1</v>
      </c>
      <c r="E25" s="25">
        <f>-B3</f>
        <v>-200000</v>
      </c>
      <c r="F25" s="25">
        <v>0</v>
      </c>
      <c r="G25" s="25">
        <v>0</v>
      </c>
      <c r="H25" s="25">
        <v>0</v>
      </c>
      <c r="I25" s="25">
        <v>0</v>
      </c>
      <c r="J25" s="25">
        <v>0</v>
      </c>
      <c r="K25" s="25">
        <v>0</v>
      </c>
      <c r="L25" s="25">
        <v>0</v>
      </c>
      <c r="M25" s="25">
        <v>0</v>
      </c>
      <c r="N25" s="25">
        <v>0</v>
      </c>
      <c r="O25" s="25">
        <v>0</v>
      </c>
      <c r="P25" s="26"/>
      <c r="Q25" s="18"/>
    </row>
    <row r="26" spans="1:17" x14ac:dyDescent="0.35">
      <c r="A26" s="4" t="s">
        <v>35</v>
      </c>
      <c r="B26" s="16">
        <v>25</v>
      </c>
      <c r="D26" s="3" t="s">
        <v>18</v>
      </c>
      <c r="E26" s="25">
        <v>0</v>
      </c>
      <c r="F26" s="25">
        <v>0</v>
      </c>
      <c r="G26" s="25">
        <v>0</v>
      </c>
      <c r="H26" s="25">
        <v>0</v>
      </c>
      <c r="I26" s="25">
        <v>0</v>
      </c>
      <c r="J26" s="25">
        <v>0</v>
      </c>
      <c r="K26" s="25">
        <v>0</v>
      </c>
      <c r="L26" s="25">
        <v>0</v>
      </c>
      <c r="M26" s="25">
        <v>0</v>
      </c>
      <c r="N26" s="25">
        <v>0</v>
      </c>
      <c r="O26" s="25">
        <f>P9/B29</f>
        <v>31292684.543798834</v>
      </c>
      <c r="P26" s="26"/>
      <c r="Q26" s="18"/>
    </row>
    <row r="27" spans="1:17" x14ac:dyDescent="0.35">
      <c r="D27" s="3" t="s">
        <v>19</v>
      </c>
      <c r="E27" s="25">
        <v>0</v>
      </c>
      <c r="F27" s="25">
        <v>0</v>
      </c>
      <c r="G27" s="25">
        <v>0</v>
      </c>
      <c r="H27" s="25">
        <v>0</v>
      </c>
      <c r="I27" s="25">
        <v>0</v>
      </c>
      <c r="J27" s="25">
        <v>0</v>
      </c>
      <c r="K27" s="25">
        <v>0</v>
      </c>
      <c r="L27" s="25">
        <v>0</v>
      </c>
      <c r="M27" s="25">
        <v>0</v>
      </c>
      <c r="N27" s="25">
        <v>0</v>
      </c>
      <c r="O27" s="25">
        <f>O26*-B30</f>
        <v>-782317.1135949709</v>
      </c>
      <c r="P27" s="26"/>
    </row>
    <row r="28" spans="1:17" x14ac:dyDescent="0.35">
      <c r="A28" s="5" t="s">
        <v>31</v>
      </c>
      <c r="B28" s="6"/>
      <c r="D28" s="22" t="s">
        <v>40</v>
      </c>
      <c r="E28" s="27">
        <f>SUM(E24:E27,E16)</f>
        <v>-20200000</v>
      </c>
      <c r="F28" s="27">
        <f t="shared" ref="F28:O28" si="16">SUM(F24:F27,F16)</f>
        <v>1137500</v>
      </c>
      <c r="G28" s="27">
        <f t="shared" si="16"/>
        <v>1194750</v>
      </c>
      <c r="H28" s="27">
        <f t="shared" si="16"/>
        <v>1254642.5</v>
      </c>
      <c r="I28" s="27">
        <f t="shared" si="16"/>
        <v>992293.77499999991</v>
      </c>
      <c r="J28" s="27">
        <f t="shared" si="16"/>
        <v>1382825.0682499998</v>
      </c>
      <c r="K28" s="27">
        <f t="shared" si="16"/>
        <v>1451362.7994975001</v>
      </c>
      <c r="L28" s="27">
        <f t="shared" si="16"/>
        <v>1523038.7818504248</v>
      </c>
      <c r="M28" s="27">
        <f t="shared" si="16"/>
        <v>1597990.4476086574</v>
      </c>
      <c r="N28" s="27">
        <f t="shared" si="16"/>
        <v>1676361.0834317456</v>
      </c>
      <c r="O28" s="27">
        <f t="shared" si="16"/>
        <v>32268667.505429182</v>
      </c>
      <c r="P28" s="28"/>
    </row>
    <row r="29" spans="1:17" x14ac:dyDescent="0.35">
      <c r="A29" s="3" t="s">
        <v>32</v>
      </c>
      <c r="B29" s="29">
        <v>0.06</v>
      </c>
      <c r="D29" s="3"/>
      <c r="E29" s="25"/>
      <c r="F29" s="25"/>
      <c r="G29" s="25"/>
      <c r="H29" s="25"/>
      <c r="I29" s="25"/>
      <c r="J29" s="25"/>
      <c r="K29" s="25"/>
      <c r="L29" s="25"/>
      <c r="M29" s="25"/>
      <c r="N29" s="25"/>
      <c r="O29" s="25"/>
      <c r="P29" s="26"/>
    </row>
    <row r="30" spans="1:17" x14ac:dyDescent="0.35">
      <c r="A30" s="4" t="s">
        <v>19</v>
      </c>
      <c r="B30" s="11">
        <v>2.5000000000000001E-2</v>
      </c>
      <c r="D30" s="3" t="s">
        <v>38</v>
      </c>
      <c r="E30" s="25">
        <f>B23</f>
        <v>12000000</v>
      </c>
      <c r="F30" s="25">
        <v>0</v>
      </c>
      <c r="G30" s="25">
        <v>0</v>
      </c>
      <c r="H30" s="25">
        <v>0</v>
      </c>
      <c r="I30" s="25">
        <v>0</v>
      </c>
      <c r="J30" s="25">
        <v>0</v>
      </c>
      <c r="K30" s="25">
        <v>0</v>
      </c>
      <c r="L30" s="25">
        <v>0</v>
      </c>
      <c r="M30" s="25">
        <v>0</v>
      </c>
      <c r="N30" s="25">
        <v>0</v>
      </c>
      <c r="O30" s="25">
        <v>0</v>
      </c>
      <c r="P30" s="26"/>
    </row>
    <row r="31" spans="1:17" x14ac:dyDescent="0.35">
      <c r="D31" s="3" t="s">
        <v>41</v>
      </c>
      <c r="E31" s="25">
        <f>B23*-B24</f>
        <v>-120000</v>
      </c>
      <c r="F31" s="25">
        <v>0</v>
      </c>
      <c r="G31" s="25">
        <v>0</v>
      </c>
      <c r="H31" s="25">
        <v>0</v>
      </c>
      <c r="I31" s="25">
        <v>0</v>
      </c>
      <c r="J31" s="25">
        <v>0</v>
      </c>
      <c r="K31" s="25">
        <v>0</v>
      </c>
      <c r="L31" s="25">
        <v>0</v>
      </c>
      <c r="M31" s="25">
        <v>0</v>
      </c>
      <c r="N31" s="25">
        <v>0</v>
      </c>
      <c r="O31" s="25">
        <v>0</v>
      </c>
      <c r="P31" s="26"/>
    </row>
    <row r="32" spans="1:17" x14ac:dyDescent="0.35">
      <c r="A32" s="31" t="s">
        <v>46</v>
      </c>
      <c r="B32" s="32"/>
      <c r="D32" s="3" t="s">
        <v>39</v>
      </c>
      <c r="E32" s="25">
        <v>0</v>
      </c>
      <c r="F32" s="25">
        <v>0</v>
      </c>
      <c r="G32" s="25">
        <v>0</v>
      </c>
      <c r="H32" s="25">
        <v>0</v>
      </c>
      <c r="I32" s="25">
        <v>0</v>
      </c>
      <c r="J32" s="25">
        <v>0</v>
      </c>
      <c r="K32" s="25">
        <v>0</v>
      </c>
      <c r="L32" s="25">
        <v>0</v>
      </c>
      <c r="M32" s="25">
        <v>0</v>
      </c>
      <c r="N32" s="25">
        <v>0</v>
      </c>
      <c r="O32" s="25">
        <f>-(B23+SUM(F18:O18))</f>
        <v>-8870937.069891803</v>
      </c>
      <c r="P32" s="26"/>
    </row>
    <row r="33" spans="1:16" x14ac:dyDescent="0.35">
      <c r="A33" s="3" t="s">
        <v>47</v>
      </c>
      <c r="B33" s="41">
        <f>F9/B2</f>
        <v>5.8125000000000003E-2</v>
      </c>
      <c r="D33" s="22" t="s">
        <v>42</v>
      </c>
      <c r="E33" s="27">
        <f>SUM(E20,E28:E32)</f>
        <v>-8320000</v>
      </c>
      <c r="F33" s="27">
        <f t="shared" ref="F33:O33" si="17">SUM(F20,F28:F32)</f>
        <v>295690.34022851009</v>
      </c>
      <c r="G33" s="27">
        <f t="shared" si="17"/>
        <v>352940.34022851009</v>
      </c>
      <c r="H33" s="27">
        <f t="shared" si="17"/>
        <v>412832.84022851009</v>
      </c>
      <c r="I33" s="27">
        <f t="shared" si="17"/>
        <v>150484.11522851</v>
      </c>
      <c r="J33" s="27">
        <f t="shared" si="17"/>
        <v>541015.40847850987</v>
      </c>
      <c r="K33" s="27">
        <f t="shared" si="17"/>
        <v>609553.13972601015</v>
      </c>
      <c r="L33" s="27">
        <f t="shared" si="17"/>
        <v>681229.12207893492</v>
      </c>
      <c r="M33" s="27">
        <f t="shared" si="17"/>
        <v>756180.7878371675</v>
      </c>
      <c r="N33" s="27">
        <f t="shared" si="17"/>
        <v>834551.42366025574</v>
      </c>
      <c r="O33" s="27">
        <f t="shared" si="17"/>
        <v>22555920.775765888</v>
      </c>
      <c r="P33" s="28"/>
    </row>
    <row r="34" spans="1:16" x14ac:dyDescent="0.35">
      <c r="A34" s="3" t="s">
        <v>48</v>
      </c>
      <c r="B34" s="41">
        <f>XIRR(E33:O33,E2:O2)</f>
        <v>0.14016434550285339</v>
      </c>
      <c r="O34" s="30"/>
    </row>
    <row r="35" spans="1:16" x14ac:dyDescent="0.35">
      <c r="A35" s="3" t="s">
        <v>49</v>
      </c>
      <c r="B35" s="42">
        <f>SUMIF(E33:O33,"&gt;"&amp;0,E33:O33)/-SUMIF(E33:O33,"&lt;"&amp;0,E33:O33)</f>
        <v>3.2680767179640395</v>
      </c>
      <c r="D35" s="22" t="s">
        <v>52</v>
      </c>
      <c r="E35" s="33"/>
      <c r="F35" s="33">
        <f>IF(F22&lt;0,0,F22/-SUMIF($E$33:E33,"&lt;"&amp;0,$E$33:E33))</f>
        <v>3.5539704354388232E-2</v>
      </c>
      <c r="G35" s="33">
        <f>IF(G22&lt;0,0,G22/-SUMIF($E$33:F33,"&lt;"&amp;0,$E$33:F33))</f>
        <v>4.2420713969772844E-2</v>
      </c>
      <c r="H35" s="33">
        <f>IF(H22&lt;0,0,H22/-SUMIF($E$33:G33,"&lt;"&amp;0,$E$33:G33))</f>
        <v>4.9619331758234388E-2</v>
      </c>
      <c r="I35" s="33">
        <f>IF(I22&lt;0,0,I22/-SUMIF($E$33:H33,"&lt;"&amp;0,$E$33:H33))</f>
        <v>1.808703308034976E-2</v>
      </c>
      <c r="J35" s="33">
        <f>IF(J22&lt;0,0,J22/-SUMIF($E$33:I33,"&lt;"&amp;0,$E$33:I33))</f>
        <v>6.5025890442128587E-2</v>
      </c>
      <c r="K35" s="33">
        <f>IF(K22&lt;0,0,K22/-SUMIF($E$33:J33,"&lt;"&amp;0,$E$33:J33))</f>
        <v>7.3263598524760831E-2</v>
      </c>
      <c r="L35" s="33">
        <f>IF(L22&lt;0,0,L22/-SUMIF($E$33:K33,"&lt;"&amp;0,$E$33:K33))</f>
        <v>8.1878500249871991E-2</v>
      </c>
      <c r="M35" s="33">
        <f>IF(M22&lt;0,0,M22/-SUMIF($E$33:L33,"&lt;"&amp;0,$E$33:L33))</f>
        <v>9.0887113922736476E-2</v>
      </c>
      <c r="N35" s="33">
        <f>IF(N22&lt;0,0,N22/-SUMIF($E$33:M33,"&lt;"&amp;0,$E$33:M33))</f>
        <v>0.10030666149762689</v>
      </c>
      <c r="O35" s="33">
        <f>IF(O22&lt;0,0,O22/-SUMIF($E$33:N33,"&lt;"&amp;0,$E$33:N33))</f>
        <v>0.11015509801127768</v>
      </c>
      <c r="P35" s="34"/>
    </row>
    <row r="36" spans="1:16" x14ac:dyDescent="0.35">
      <c r="A36" s="4" t="s">
        <v>51</v>
      </c>
      <c r="B36" s="43">
        <f>AVERAGE(F35:O35)</f>
        <v>6.671836458111477E-2</v>
      </c>
    </row>
  </sheetData>
  <dataValidations count="1">
    <dataValidation type="list" allowBlank="1" showInputMessage="1" showErrorMessage="1" sqref="B20 B18" xr:uid="{C853BFDB-94FC-42A4-B90E-A27203B54D64}">
      <formula1>$F$1:$O$1</formula1>
    </dataValidation>
  </dataValidation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 First</vt:lpstr>
      <vt:lpstr>Break Into CRE Crash Course</vt:lpstr>
      <vt:lpstr>'Read Me First'!Print_Area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Kivel</dc:creator>
  <cp:lastModifiedBy>Justin Kivel</cp:lastModifiedBy>
  <dcterms:created xsi:type="dcterms:W3CDTF">2019-03-19T19:41:34Z</dcterms:created>
  <dcterms:modified xsi:type="dcterms:W3CDTF">2024-11-13T17:50:13Z</dcterms:modified>
</cp:coreProperties>
</file>